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odieapeseche/Desktop/"/>
    </mc:Choice>
  </mc:AlternateContent>
  <xr:revisionPtr revIDLastSave="0" documentId="13_ncr:1_{35913172-801B-7E4A-A382-4CFC92424983}" xr6:coauthVersionLast="41" xr6:coauthVersionMax="41" xr10:uidLastSave="{00000000-0000-0000-0000-000000000000}"/>
  <bookViews>
    <workbookView xWindow="240" yWindow="460" windowWidth="26120" windowHeight="13600" activeTab="1" xr2:uid="{00000000-000D-0000-FFFF-FFFF00000000}"/>
  </bookViews>
  <sheets>
    <sheet name="Empire State Building" sheetId="2" r:id="rId1"/>
    <sheet name="Li Fung" sheetId="3" r:id="rId2"/>
  </sheets>
  <definedNames>
    <definedName name="_xlnm.Print_Area" localSheetId="0">'Empire State Building'!$B$1:$Q$33</definedName>
    <definedName name="_xlnm.Print_Area" localSheetId="1">'Li Fung'!$AD$10:$AT$17</definedName>
    <definedName name="_xlnm.Print_Titles" localSheetId="0">'Empire State Building'!$A:$B</definedName>
    <definedName name="_xlnm.Print_Titles" localSheetId="1">'Li Fung'!$C:$C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20" i="2" l="1"/>
  <c r="AJ33" i="2" l="1"/>
  <c r="E33" i="2"/>
  <c r="U33" i="2" s="1"/>
  <c r="U10" i="2"/>
  <c r="V10" i="2"/>
  <c r="C33" i="2"/>
  <c r="S33" i="2" s="1"/>
  <c r="BC33" i="2"/>
  <c r="AM10" i="2"/>
  <c r="AN10" i="2" s="1"/>
  <c r="AM33" i="2"/>
  <c r="AN33" i="2"/>
  <c r="D33" i="2"/>
  <c r="AL33" i="2"/>
  <c r="AJ29" i="2"/>
  <c r="T29" i="2"/>
  <c r="U29" i="2"/>
  <c r="V29" i="2"/>
  <c r="S29" i="2"/>
  <c r="AJ27" i="2"/>
  <c r="T28" i="2"/>
  <c r="T27" i="2" s="1"/>
  <c r="U28" i="2"/>
  <c r="U27" i="2"/>
  <c r="V28" i="2"/>
  <c r="V27" i="2" s="1"/>
  <c r="S27" i="2"/>
  <c r="AJ26" i="2"/>
  <c r="T26" i="2"/>
  <c r="U26" i="2"/>
  <c r="V26" i="2"/>
  <c r="S26" i="2"/>
  <c r="AJ25" i="2"/>
  <c r="T25" i="2"/>
  <c r="U25" i="2"/>
  <c r="V25" i="2"/>
  <c r="S25" i="2"/>
  <c r="AJ24" i="2"/>
  <c r="T24" i="2"/>
  <c r="U24" i="2"/>
  <c r="S24" i="2"/>
  <c r="AJ23" i="2"/>
  <c r="T23" i="2"/>
  <c r="U23" i="2"/>
  <c r="V23" i="2"/>
  <c r="S23" i="2"/>
  <c r="AJ22" i="2"/>
  <c r="T22" i="2"/>
  <c r="U22" i="2"/>
  <c r="V22" i="2"/>
  <c r="S22" i="2"/>
  <c r="AJ19" i="2"/>
  <c r="T19" i="2"/>
  <c r="U19" i="2"/>
  <c r="V19" i="2"/>
  <c r="S19" i="2"/>
  <c r="AJ18" i="2"/>
  <c r="T18" i="2"/>
  <c r="U18" i="2"/>
  <c r="S18" i="2"/>
  <c r="AJ16" i="2"/>
  <c r="T17" i="2"/>
  <c r="T16" i="2" s="1"/>
  <c r="U17" i="2"/>
  <c r="U16" i="2" s="1"/>
  <c r="V17" i="2"/>
  <c r="V16" i="2"/>
  <c r="S16" i="2"/>
  <c r="AJ15" i="2"/>
  <c r="T15" i="2"/>
  <c r="U15" i="2"/>
  <c r="V15" i="2"/>
  <c r="S15" i="2"/>
  <c r="AJ14" i="2"/>
  <c r="T14" i="2"/>
  <c r="U14" i="2"/>
  <c r="S14" i="2"/>
  <c r="AJ13" i="2"/>
  <c r="T13" i="2"/>
  <c r="U13" i="2"/>
  <c r="V13" i="2"/>
  <c r="S13" i="2"/>
  <c r="AJ11" i="2"/>
  <c r="T12" i="2"/>
  <c r="T11" i="2"/>
  <c r="U12" i="2"/>
  <c r="U11" i="2" s="1"/>
  <c r="S11" i="2"/>
  <c r="BC29" i="2"/>
  <c r="AM29" i="2"/>
  <c r="AN29" i="2"/>
  <c r="AL29" i="2"/>
  <c r="BC27" i="2"/>
  <c r="AM28" i="2"/>
  <c r="AM27" i="2" s="1"/>
  <c r="AN28" i="2"/>
  <c r="AL27" i="2"/>
  <c r="BC26" i="2"/>
  <c r="AM26" i="2"/>
  <c r="AN26" i="2"/>
  <c r="AL26" i="2"/>
  <c r="BC25" i="2"/>
  <c r="AM25" i="2"/>
  <c r="AN25" i="2"/>
  <c r="AL25" i="2"/>
  <c r="BC24" i="2"/>
  <c r="AM24" i="2"/>
  <c r="AN24" i="2"/>
  <c r="AL24" i="2"/>
  <c r="BC23" i="2"/>
  <c r="AM23" i="2"/>
  <c r="AN23" i="2"/>
  <c r="AL23" i="2"/>
  <c r="BC22" i="2"/>
  <c r="AM22" i="2"/>
  <c r="AN22" i="2"/>
  <c r="AL22" i="2"/>
  <c r="BC19" i="2"/>
  <c r="AM19" i="2"/>
  <c r="AN19" i="2"/>
  <c r="AL19" i="2"/>
  <c r="BC18" i="2"/>
  <c r="AM18" i="2"/>
  <c r="AN18" i="2"/>
  <c r="AL18" i="2"/>
  <c r="BC16" i="2"/>
  <c r="AM17" i="2"/>
  <c r="AM16" i="2"/>
  <c r="AN17" i="2"/>
  <c r="AN16" i="2" s="1"/>
  <c r="AL16" i="2"/>
  <c r="BC15" i="2"/>
  <c r="AM15" i="2"/>
  <c r="AN15" i="2"/>
  <c r="AL15" i="2"/>
  <c r="BC14" i="2"/>
  <c r="AM14" i="2"/>
  <c r="AN14" i="2"/>
  <c r="AL14" i="2"/>
  <c r="BC13" i="2"/>
  <c r="AM13" i="2"/>
  <c r="AN13" i="2"/>
  <c r="AL13" i="2"/>
  <c r="BC11" i="2"/>
  <c r="AM12" i="2"/>
  <c r="AM11" i="2"/>
  <c r="AN12" i="2"/>
  <c r="AN11" i="2" s="1"/>
  <c r="AL11" i="2"/>
  <c r="AM20" i="2"/>
  <c r="AN20" i="2"/>
  <c r="BC20" i="2"/>
  <c r="AL20" i="2"/>
  <c r="BC28" i="2"/>
  <c r="BC21" i="2"/>
  <c r="AM21" i="2"/>
  <c r="BC17" i="2"/>
  <c r="BC12" i="2"/>
  <c r="AJ28" i="2"/>
  <c r="AJ21" i="2"/>
  <c r="AI21" i="2" s="1"/>
  <c r="T21" i="2"/>
  <c r="S21" i="2"/>
  <c r="AJ20" i="2"/>
  <c r="T20" i="2"/>
  <c r="U20" i="2"/>
  <c r="V20" i="2"/>
  <c r="S20" i="2"/>
  <c r="AJ17" i="2"/>
  <c r="AJ12" i="2"/>
  <c r="O29" i="2"/>
  <c r="O27" i="2"/>
  <c r="O26" i="2"/>
  <c r="O25" i="2"/>
  <c r="O24" i="2"/>
  <c r="O23" i="2"/>
  <c r="O22" i="2"/>
  <c r="O19" i="2"/>
  <c r="O18" i="2"/>
  <c r="O16" i="2"/>
  <c r="O15" i="2"/>
  <c r="O14" i="2"/>
  <c r="O13" i="2"/>
  <c r="O11" i="2"/>
  <c r="M29" i="2"/>
  <c r="M27" i="2"/>
  <c r="M26" i="2"/>
  <c r="M25" i="2"/>
  <c r="M24" i="2"/>
  <c r="M23" i="2"/>
  <c r="M22" i="2"/>
  <c r="M19" i="2"/>
  <c r="M18" i="2"/>
  <c r="M16" i="2"/>
  <c r="M15" i="2"/>
  <c r="M14" i="2"/>
  <c r="M13" i="2"/>
  <c r="M11" i="2"/>
  <c r="I33" i="2"/>
  <c r="G33" i="2"/>
  <c r="U21" i="2"/>
  <c r="V21" i="2"/>
  <c r="AN21" i="2"/>
  <c r="BB9" i="2"/>
  <c r="I11" i="2"/>
  <c r="I29" i="2"/>
  <c r="I27" i="2"/>
  <c r="I26" i="2"/>
  <c r="I25" i="2"/>
  <c r="I24" i="2"/>
  <c r="I23" i="2"/>
  <c r="I22" i="2"/>
  <c r="I20" i="2"/>
  <c r="I19" i="2"/>
  <c r="I18" i="2"/>
  <c r="I16" i="2"/>
  <c r="I15" i="2"/>
  <c r="I14" i="2"/>
  <c r="I13" i="2"/>
  <c r="G29" i="2"/>
  <c r="G27" i="2"/>
  <c r="G26" i="2"/>
  <c r="G25" i="2"/>
  <c r="G24" i="2"/>
  <c r="G23" i="2"/>
  <c r="G22" i="2"/>
  <c r="G20" i="2"/>
  <c r="G19" i="2"/>
  <c r="G18" i="2"/>
  <c r="G16" i="2"/>
  <c r="G15" i="2"/>
  <c r="G14" i="2"/>
  <c r="G11" i="2"/>
  <c r="M17" i="3"/>
  <c r="N17" i="3"/>
  <c r="AF17" i="3" s="1"/>
  <c r="O17" i="3"/>
  <c r="P17" i="3"/>
  <c r="Q17" i="3"/>
  <c r="R17" i="3"/>
  <c r="AJ17" i="3" s="1"/>
  <c r="S17" i="3"/>
  <c r="T17" i="3"/>
  <c r="U17" i="3"/>
  <c r="V17" i="3"/>
  <c r="W17" i="3"/>
  <c r="X17" i="3"/>
  <c r="Y17" i="3"/>
  <c r="Z17" i="3"/>
  <c r="AA17" i="3"/>
  <c r="L17" i="3"/>
  <c r="AU17" i="3" s="1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L16" i="3"/>
  <c r="AU16" i="3"/>
  <c r="M15" i="3"/>
  <c r="N15" i="3"/>
  <c r="O15" i="3"/>
  <c r="P15" i="3"/>
  <c r="AH15" i="3" s="1"/>
  <c r="Q15" i="3"/>
  <c r="R15" i="3"/>
  <c r="S15" i="3"/>
  <c r="T15" i="3"/>
  <c r="AL15" i="3" s="1"/>
  <c r="U15" i="3"/>
  <c r="V15" i="3"/>
  <c r="W15" i="3"/>
  <c r="X15" i="3"/>
  <c r="AP15" i="3" s="1"/>
  <c r="Y15" i="3"/>
  <c r="Z15" i="3"/>
  <c r="AA15" i="3"/>
  <c r="L15" i="3"/>
  <c r="J15" i="3" s="1"/>
  <c r="M14" i="3"/>
  <c r="N14" i="3"/>
  <c r="O14" i="3"/>
  <c r="AU14" i="3" s="1"/>
  <c r="P14" i="3"/>
  <c r="Q14" i="3"/>
  <c r="R14" i="3"/>
  <c r="S14" i="3"/>
  <c r="T14" i="3"/>
  <c r="U14" i="3"/>
  <c r="V14" i="3"/>
  <c r="W14" i="3"/>
  <c r="AO14" i="3" s="1"/>
  <c r="F14" i="3" s="1"/>
  <c r="X14" i="3"/>
  <c r="Y14" i="3"/>
  <c r="Z14" i="3"/>
  <c r="AA14" i="3"/>
  <c r="L14" i="3"/>
  <c r="M13" i="3"/>
  <c r="N13" i="3"/>
  <c r="O13" i="3"/>
  <c r="P13" i="3"/>
  <c r="Q13" i="3"/>
  <c r="R13" i="3"/>
  <c r="S13" i="3"/>
  <c r="T13" i="3"/>
  <c r="U13" i="3"/>
  <c r="V13" i="3"/>
  <c r="AN13" i="3" s="1"/>
  <c r="W13" i="3"/>
  <c r="X13" i="3"/>
  <c r="Y13" i="3"/>
  <c r="Z13" i="3"/>
  <c r="AR13" i="3" s="1"/>
  <c r="AA13" i="3"/>
  <c r="L13" i="3"/>
  <c r="AU13" i="3" s="1"/>
  <c r="M12" i="3"/>
  <c r="AE12" i="3" s="1"/>
  <c r="N12" i="3"/>
  <c r="O12" i="3"/>
  <c r="P12" i="3"/>
  <c r="Q12" i="3"/>
  <c r="AI12" i="3" s="1"/>
  <c r="R12" i="3"/>
  <c r="S12" i="3"/>
  <c r="T12" i="3"/>
  <c r="U12" i="3"/>
  <c r="AM12" i="3" s="1"/>
  <c r="V12" i="3"/>
  <c r="W12" i="3"/>
  <c r="X12" i="3"/>
  <c r="Y12" i="3"/>
  <c r="AQ12" i="3" s="1"/>
  <c r="Z12" i="3"/>
  <c r="AA12" i="3"/>
  <c r="L12" i="3"/>
  <c r="AU12" i="3"/>
  <c r="J16" i="3"/>
  <c r="J13" i="3"/>
  <c r="AL17" i="3"/>
  <c r="AS17" i="3"/>
  <c r="AR17" i="3"/>
  <c r="AQ17" i="3"/>
  <c r="AP17" i="3"/>
  <c r="AO17" i="3"/>
  <c r="AN17" i="3"/>
  <c r="AM17" i="3"/>
  <c r="AK17" i="3"/>
  <c r="AI17" i="3"/>
  <c r="AH17" i="3"/>
  <c r="AG17" i="3"/>
  <c r="I17" i="3"/>
  <c r="AP16" i="3"/>
  <c r="AH16" i="3"/>
  <c r="AS16" i="3"/>
  <c r="AR16" i="3"/>
  <c r="AQ16" i="3"/>
  <c r="AO16" i="3"/>
  <c r="AN16" i="3"/>
  <c r="AM16" i="3"/>
  <c r="AL16" i="3"/>
  <c r="AK16" i="3"/>
  <c r="AJ16" i="3"/>
  <c r="AI16" i="3"/>
  <c r="AG16" i="3"/>
  <c r="AF16" i="3"/>
  <c r="I16" i="3"/>
  <c r="AS15" i="3"/>
  <c r="AR15" i="3"/>
  <c r="AQ15" i="3"/>
  <c r="AO15" i="3"/>
  <c r="AN15" i="3"/>
  <c r="AM15" i="3"/>
  <c r="AK15" i="3"/>
  <c r="AJ15" i="3"/>
  <c r="AI15" i="3"/>
  <c r="AG15" i="3"/>
  <c r="AF15" i="3"/>
  <c r="I15" i="3"/>
  <c r="AG14" i="3"/>
  <c r="AS14" i="3"/>
  <c r="AR14" i="3"/>
  <c r="AQ14" i="3"/>
  <c r="AP14" i="3"/>
  <c r="AN14" i="3"/>
  <c r="AM14" i="3"/>
  <c r="AL14" i="3"/>
  <c r="AK14" i="3"/>
  <c r="AJ14" i="3"/>
  <c r="AI14" i="3"/>
  <c r="AH14" i="3"/>
  <c r="AF14" i="3"/>
  <c r="AJ13" i="3"/>
  <c r="AS13" i="3"/>
  <c r="AQ13" i="3"/>
  <c r="AP13" i="3"/>
  <c r="AO13" i="3"/>
  <c r="AM13" i="3"/>
  <c r="AL13" i="3"/>
  <c r="AK13" i="3"/>
  <c r="AI13" i="3"/>
  <c r="AH13" i="3"/>
  <c r="F13" i="3" s="1"/>
  <c r="AG13" i="3"/>
  <c r="AF13" i="3"/>
  <c r="AE13" i="3"/>
  <c r="I13" i="3"/>
  <c r="AS12" i="3"/>
  <c r="AR12" i="3"/>
  <c r="AP12" i="3"/>
  <c r="AO12" i="3"/>
  <c r="AN12" i="3"/>
  <c r="AL12" i="3"/>
  <c r="AK12" i="3"/>
  <c r="AJ12" i="3"/>
  <c r="AH12" i="3"/>
  <c r="AG12" i="3"/>
  <c r="AF12" i="3"/>
  <c r="I12" i="3"/>
  <c r="AD14" i="3"/>
  <c r="AT14" i="3" s="1"/>
  <c r="AE14" i="3"/>
  <c r="J14" i="3"/>
  <c r="AD13" i="3"/>
  <c r="G13" i="3"/>
  <c r="G16" i="3"/>
  <c r="AD16" i="3"/>
  <c r="AT16" i="3" s="1"/>
  <c r="AD12" i="3"/>
  <c r="G12" i="3"/>
  <c r="G15" i="3"/>
  <c r="AD15" i="3"/>
  <c r="AB17" i="3"/>
  <c r="G17" i="3"/>
  <c r="AD17" i="3"/>
  <c r="AE17" i="3"/>
  <c r="AB15" i="3"/>
  <c r="AB16" i="3"/>
  <c r="AB14" i="3"/>
  <c r="AB12" i="3"/>
  <c r="AB13" i="3"/>
  <c r="AE15" i="3"/>
  <c r="AT15" i="3" s="1"/>
  <c r="AE16" i="3"/>
  <c r="F16" i="3"/>
  <c r="AT13" i="3" l="1"/>
  <c r="AT12" i="3"/>
  <c r="F12" i="3"/>
  <c r="AT17" i="3"/>
  <c r="F15" i="3"/>
  <c r="F17" i="3"/>
  <c r="J12" i="3"/>
  <c r="J17" i="3"/>
  <c r="AU15" i="3"/>
  <c r="BB21" i="2"/>
  <c r="V24" i="2"/>
  <c r="V18" i="2"/>
  <c r="V14" i="2"/>
  <c r="V12" i="2"/>
  <c r="V11" i="2" s="1"/>
  <c r="W10" i="2"/>
  <c r="AO10" i="2"/>
  <c r="AN27" i="2"/>
  <c r="V33" i="2"/>
  <c r="T33" i="2"/>
  <c r="W28" i="2" l="1"/>
  <c r="W23" i="2"/>
  <c r="W13" i="2"/>
  <c r="X10" i="2"/>
  <c r="W18" i="2"/>
  <c r="W14" i="2"/>
  <c r="W27" i="2"/>
  <c r="W25" i="2"/>
  <c r="W26" i="2"/>
  <c r="W19" i="2"/>
  <c r="W11" i="2"/>
  <c r="W17" i="2"/>
  <c r="W16" i="2" s="1"/>
  <c r="W15" i="2"/>
  <c r="W22" i="2"/>
  <c r="W29" i="2"/>
  <c r="W20" i="2"/>
  <c r="W21" i="2"/>
  <c r="W12" i="2"/>
  <c r="W24" i="2"/>
  <c r="O33" i="2"/>
  <c r="M33" i="2"/>
  <c r="W33" i="2"/>
  <c r="AO29" i="2"/>
  <c r="AP10" i="2"/>
  <c r="AO25" i="2"/>
  <c r="AO19" i="2"/>
  <c r="AO26" i="2"/>
  <c r="AO13" i="2"/>
  <c r="AO20" i="2"/>
  <c r="AO33" i="2"/>
  <c r="AO22" i="2"/>
  <c r="AO14" i="2"/>
  <c r="AO12" i="2"/>
  <c r="AO24" i="2"/>
  <c r="AO23" i="2"/>
  <c r="AO17" i="2"/>
  <c r="AO15" i="2"/>
  <c r="AO18" i="2"/>
  <c r="AO21" i="2"/>
  <c r="AO16" i="2"/>
  <c r="AO28" i="2"/>
  <c r="AQ10" i="2" l="1"/>
  <c r="AP33" i="2"/>
  <c r="AP24" i="2"/>
  <c r="AP18" i="2"/>
  <c r="AP19" i="2"/>
  <c r="AP17" i="2"/>
  <c r="AP11" i="2"/>
  <c r="AP28" i="2"/>
  <c r="AP27" i="2" s="1"/>
  <c r="AP26" i="2"/>
  <c r="AP16" i="2"/>
  <c r="AP13" i="2"/>
  <c r="AP20" i="2"/>
  <c r="AP29" i="2"/>
  <c r="AP22" i="2"/>
  <c r="AP14" i="2"/>
  <c r="AP23" i="2"/>
  <c r="AP15" i="2"/>
  <c r="AP12" i="2"/>
  <c r="AP21" i="2"/>
  <c r="AP25" i="2"/>
  <c r="AO11" i="2"/>
  <c r="AO27" i="2"/>
  <c r="X26" i="2"/>
  <c r="X22" i="2"/>
  <c r="X12" i="2"/>
  <c r="Y10" i="2"/>
  <c r="X29" i="2"/>
  <c r="X24" i="2"/>
  <c r="X16" i="2"/>
  <c r="X13" i="2"/>
  <c r="X28" i="2"/>
  <c r="X25" i="2"/>
  <c r="X27" i="2"/>
  <c r="X14" i="2"/>
  <c r="X19" i="2"/>
  <c r="X18" i="2"/>
  <c r="X17" i="2"/>
  <c r="X15" i="2"/>
  <c r="X23" i="2"/>
  <c r="X20" i="2"/>
  <c r="X21" i="2"/>
  <c r="X33" i="2"/>
  <c r="X11" i="2" l="1"/>
  <c r="Y29" i="2"/>
  <c r="Y28" i="2"/>
  <c r="Y25" i="2"/>
  <c r="Y19" i="2"/>
  <c r="Y15" i="2"/>
  <c r="Z10" i="2"/>
  <c r="Y27" i="2"/>
  <c r="Y23" i="2"/>
  <c r="Y22" i="2"/>
  <c r="Y24" i="2"/>
  <c r="Y18" i="2"/>
  <c r="Y26" i="2"/>
  <c r="Y14" i="2"/>
  <c r="Y13" i="2"/>
  <c r="Y12" i="2"/>
  <c r="Y11" i="2" s="1"/>
  <c r="Y20" i="2"/>
  <c r="Y17" i="2"/>
  <c r="Y16" i="2" s="1"/>
  <c r="Y21" i="2"/>
  <c r="Y33" i="2"/>
  <c r="AR10" i="2"/>
  <c r="AQ23" i="2"/>
  <c r="AQ33" i="2"/>
  <c r="AQ25" i="2"/>
  <c r="AQ18" i="2"/>
  <c r="AQ15" i="2"/>
  <c r="AQ19" i="2"/>
  <c r="AQ12" i="2"/>
  <c r="AQ11" i="2" s="1"/>
  <c r="AQ28" i="2"/>
  <c r="AQ26" i="2"/>
  <c r="AQ17" i="2"/>
  <c r="AQ13" i="2"/>
  <c r="AQ20" i="2"/>
  <c r="AQ27" i="2"/>
  <c r="AQ22" i="2"/>
  <c r="AQ14" i="2"/>
  <c r="AQ29" i="2"/>
  <c r="AQ24" i="2"/>
  <c r="AQ16" i="2"/>
  <c r="AQ21" i="2"/>
  <c r="Z24" i="2" l="1"/>
  <c r="Z18" i="2"/>
  <c r="Z14" i="2"/>
  <c r="Z12" i="2"/>
  <c r="AA10" i="2"/>
  <c r="Z26" i="2"/>
  <c r="Z19" i="2"/>
  <c r="Z15" i="2"/>
  <c r="Z29" i="2"/>
  <c r="Z28" i="2"/>
  <c r="Z27" i="2" s="1"/>
  <c r="Z25" i="2"/>
  <c r="Z23" i="2"/>
  <c r="Z17" i="2"/>
  <c r="Z16" i="2" s="1"/>
  <c r="Z13" i="2"/>
  <c r="Z22" i="2"/>
  <c r="Z11" i="2"/>
  <c r="Z20" i="2"/>
  <c r="Z21" i="2"/>
  <c r="Z33" i="2"/>
  <c r="AS10" i="2"/>
  <c r="AR27" i="2"/>
  <c r="AR26" i="2"/>
  <c r="AR22" i="2"/>
  <c r="AR33" i="2"/>
  <c r="AR29" i="2"/>
  <c r="AR28" i="2"/>
  <c r="AR24" i="2"/>
  <c r="AR23" i="2"/>
  <c r="AR17" i="2"/>
  <c r="AR16" i="2" s="1"/>
  <c r="AR14" i="2"/>
  <c r="AR25" i="2"/>
  <c r="AR18" i="2"/>
  <c r="AR15" i="2"/>
  <c r="AR19" i="2"/>
  <c r="AR13" i="2"/>
  <c r="AR21" i="2"/>
  <c r="AR12" i="2"/>
  <c r="AR11" i="2" s="1"/>
  <c r="AR20" i="2"/>
  <c r="AA28" i="2" l="1"/>
  <c r="AA23" i="2"/>
  <c r="AA13" i="2"/>
  <c r="AA25" i="2"/>
  <c r="AA17" i="2"/>
  <c r="AA16" i="2" s="1"/>
  <c r="AA12" i="2"/>
  <c r="AA11" i="2" s="1"/>
  <c r="AB10" i="2"/>
  <c r="AA26" i="2"/>
  <c r="AA29" i="2"/>
  <c r="AA24" i="2"/>
  <c r="AA22" i="2"/>
  <c r="AA27" i="2"/>
  <c r="AA19" i="2"/>
  <c r="AA18" i="2"/>
  <c r="AA14" i="2"/>
  <c r="AA21" i="2"/>
  <c r="AA15" i="2"/>
  <c r="AA20" i="2"/>
  <c r="AA33" i="2"/>
  <c r="AS29" i="2"/>
  <c r="AT10" i="2"/>
  <c r="AS25" i="2"/>
  <c r="AS19" i="2"/>
  <c r="AS22" i="2"/>
  <c r="AS13" i="2"/>
  <c r="AS20" i="2"/>
  <c r="AS28" i="2"/>
  <c r="AS24" i="2"/>
  <c r="AS23" i="2"/>
  <c r="AS14" i="2"/>
  <c r="AS12" i="2"/>
  <c r="AS33" i="2"/>
  <c r="AS27" i="2"/>
  <c r="AS18" i="2"/>
  <c r="AS17" i="2"/>
  <c r="AS15" i="2"/>
  <c r="AS11" i="2"/>
  <c r="AS26" i="2"/>
  <c r="AS16" i="2"/>
  <c r="AS21" i="2"/>
  <c r="AB26" i="2" l="1"/>
  <c r="AB22" i="2"/>
  <c r="AB12" i="2"/>
  <c r="AC10" i="2"/>
  <c r="AB28" i="2"/>
  <c r="AB18" i="2"/>
  <c r="AB14" i="2"/>
  <c r="AB27" i="2"/>
  <c r="AB25" i="2"/>
  <c r="AB23" i="2"/>
  <c r="AB19" i="2"/>
  <c r="AB29" i="2"/>
  <c r="AB24" i="2"/>
  <c r="AB15" i="2"/>
  <c r="AB11" i="2"/>
  <c r="AB17" i="2"/>
  <c r="AB20" i="2"/>
  <c r="AB21" i="2"/>
  <c r="AB16" i="2"/>
  <c r="AB13" i="2"/>
  <c r="AB33" i="2"/>
  <c r="AU10" i="2"/>
  <c r="AT33" i="2"/>
  <c r="AT29" i="2"/>
  <c r="AT24" i="2"/>
  <c r="AT18" i="2"/>
  <c r="AT26" i="2"/>
  <c r="AT17" i="2"/>
  <c r="AT22" i="2"/>
  <c r="AT16" i="2"/>
  <c r="AT13" i="2"/>
  <c r="AT20" i="2"/>
  <c r="AT25" i="2"/>
  <c r="AT23" i="2"/>
  <c r="AT14" i="2"/>
  <c r="AT28" i="2"/>
  <c r="AT27" i="2" s="1"/>
  <c r="AT19" i="2"/>
  <c r="AT15" i="2"/>
  <c r="AT21" i="2"/>
  <c r="AT12" i="2"/>
  <c r="AT11" i="2" s="1"/>
  <c r="AV10" i="2" l="1"/>
  <c r="AU23" i="2"/>
  <c r="AU33" i="2"/>
  <c r="AU28" i="2"/>
  <c r="AU19" i="2"/>
  <c r="AU15" i="2"/>
  <c r="AU29" i="2"/>
  <c r="AU27" i="2"/>
  <c r="AU26" i="2"/>
  <c r="AU12" i="2"/>
  <c r="AU11" i="2" s="1"/>
  <c r="AU24" i="2"/>
  <c r="AU22" i="2"/>
  <c r="AU17" i="2"/>
  <c r="AU16" i="2" s="1"/>
  <c r="AU13" i="2"/>
  <c r="AU20" i="2"/>
  <c r="AU25" i="2"/>
  <c r="AU14" i="2"/>
  <c r="AU18" i="2"/>
  <c r="AU21" i="2"/>
  <c r="AC29" i="2"/>
  <c r="AC28" i="2"/>
  <c r="AC25" i="2"/>
  <c r="AC19" i="2"/>
  <c r="AC15" i="2"/>
  <c r="AC24" i="2"/>
  <c r="AC13" i="2"/>
  <c r="AD10" i="2"/>
  <c r="AC27" i="2"/>
  <c r="AC26" i="2"/>
  <c r="AC22" i="2"/>
  <c r="AC17" i="2"/>
  <c r="AC16" i="2" s="1"/>
  <c r="AC23" i="2"/>
  <c r="AC12" i="2"/>
  <c r="AC11" i="2" s="1"/>
  <c r="AC20" i="2"/>
  <c r="AC14" i="2"/>
  <c r="AC21" i="2"/>
  <c r="AC18" i="2"/>
  <c r="AC33" i="2"/>
  <c r="AD24" i="2" l="1"/>
  <c r="AD18" i="2"/>
  <c r="AD14" i="2"/>
  <c r="AD12" i="2"/>
  <c r="AD11" i="2" s="1"/>
  <c r="AE10" i="2"/>
  <c r="AD29" i="2"/>
  <c r="AD23" i="2"/>
  <c r="AD22" i="2"/>
  <c r="AD17" i="2"/>
  <c r="AD16" i="2" s="1"/>
  <c r="AD25" i="2"/>
  <c r="AD13" i="2"/>
  <c r="AD15" i="2"/>
  <c r="AD28" i="2"/>
  <c r="AD27" i="2" s="1"/>
  <c r="AD26" i="2"/>
  <c r="AD20" i="2"/>
  <c r="AD19" i="2"/>
  <c r="AD21" i="2"/>
  <c r="AD33" i="2"/>
  <c r="AW10" i="2"/>
  <c r="AV26" i="2"/>
  <c r="AV22" i="2"/>
  <c r="AV33" i="2"/>
  <c r="AV25" i="2"/>
  <c r="AV18" i="2"/>
  <c r="AV17" i="2"/>
  <c r="AV14" i="2"/>
  <c r="AV19" i="2"/>
  <c r="AV16" i="2"/>
  <c r="AV15" i="2"/>
  <c r="AV29" i="2"/>
  <c r="AV28" i="2"/>
  <c r="AV27" i="2" s="1"/>
  <c r="AV12" i="2"/>
  <c r="AV11" i="2" s="1"/>
  <c r="AV21" i="2"/>
  <c r="AV13" i="2"/>
  <c r="AV23" i="2"/>
  <c r="AV24" i="2"/>
  <c r="AV20" i="2"/>
  <c r="AW29" i="2" l="1"/>
  <c r="AX10" i="2"/>
  <c r="AW25" i="2"/>
  <c r="AW19" i="2"/>
  <c r="AW24" i="2"/>
  <c r="AW23" i="2"/>
  <c r="AW13" i="2"/>
  <c r="AW20" i="2"/>
  <c r="AW18" i="2"/>
  <c r="AW14" i="2"/>
  <c r="AW12" i="2"/>
  <c r="AW26" i="2"/>
  <c r="AW17" i="2"/>
  <c r="AW15" i="2"/>
  <c r="AW11" i="2"/>
  <c r="AW33" i="2"/>
  <c r="AW22" i="2"/>
  <c r="AW21" i="2"/>
  <c r="AW28" i="2"/>
  <c r="AW27" i="2" s="1"/>
  <c r="AW16" i="2"/>
  <c r="AE28" i="2"/>
  <c r="AE23" i="2"/>
  <c r="AE13" i="2"/>
  <c r="AF10" i="2"/>
  <c r="AE26" i="2"/>
  <c r="AE19" i="2"/>
  <c r="AE15" i="2"/>
  <c r="AE29" i="2"/>
  <c r="AE27" i="2"/>
  <c r="AE24" i="2"/>
  <c r="AE18" i="2"/>
  <c r="AE14" i="2"/>
  <c r="AE12" i="2"/>
  <c r="AE11" i="2" s="1"/>
  <c r="AE25" i="2"/>
  <c r="AE22" i="2"/>
  <c r="AE17" i="2"/>
  <c r="AE16" i="2" s="1"/>
  <c r="AE21" i="2"/>
  <c r="AE20" i="2"/>
  <c r="AE33" i="2"/>
  <c r="AF26" i="2" l="1"/>
  <c r="AF22" i="2"/>
  <c r="AF12" i="2"/>
  <c r="AG10" i="2"/>
  <c r="AF25" i="2"/>
  <c r="AF16" i="2"/>
  <c r="AF11" i="2"/>
  <c r="AF29" i="2"/>
  <c r="AF28" i="2"/>
  <c r="AF24" i="2"/>
  <c r="AF19" i="2"/>
  <c r="AF18" i="2"/>
  <c r="AF14" i="2"/>
  <c r="AF13" i="2"/>
  <c r="AF23" i="2"/>
  <c r="AF15" i="2"/>
  <c r="AF17" i="2"/>
  <c r="AF21" i="2"/>
  <c r="AF27" i="2"/>
  <c r="AF20" i="2"/>
  <c r="AF33" i="2"/>
  <c r="AY10" i="2"/>
  <c r="AX33" i="2"/>
  <c r="AX27" i="2"/>
  <c r="AX24" i="2"/>
  <c r="AX22" i="2"/>
  <c r="AX17" i="2"/>
  <c r="AX11" i="2"/>
  <c r="AX28" i="2"/>
  <c r="AX25" i="2"/>
  <c r="AX23" i="2"/>
  <c r="AX16" i="2"/>
  <c r="AX13" i="2"/>
  <c r="AX20" i="2"/>
  <c r="AX19" i="2"/>
  <c r="AX18" i="2"/>
  <c r="AX14" i="2"/>
  <c r="AX26" i="2"/>
  <c r="AX12" i="2"/>
  <c r="AX29" i="2"/>
  <c r="AX21" i="2"/>
  <c r="AX15" i="2"/>
  <c r="AG29" i="2" l="1"/>
  <c r="AG28" i="2"/>
  <c r="AG25" i="2"/>
  <c r="AG19" i="2"/>
  <c r="AG15" i="2"/>
  <c r="AH10" i="2"/>
  <c r="AG27" i="2"/>
  <c r="AG18" i="2"/>
  <c r="AG14" i="2"/>
  <c r="AG26" i="2"/>
  <c r="AG23" i="2"/>
  <c r="AG22" i="2"/>
  <c r="AG17" i="2"/>
  <c r="AG16" i="2" s="1"/>
  <c r="AG24" i="2"/>
  <c r="AG13" i="2"/>
  <c r="AG12" i="2"/>
  <c r="AG11" i="2" s="1"/>
  <c r="AG20" i="2"/>
  <c r="AG21" i="2"/>
  <c r="AG33" i="2"/>
  <c r="AZ10" i="2"/>
  <c r="AY29" i="2"/>
  <c r="AY23" i="2"/>
  <c r="AY33" i="2"/>
  <c r="AY26" i="2"/>
  <c r="AY15" i="2"/>
  <c r="AY24" i="2"/>
  <c r="AY22" i="2"/>
  <c r="AY12" i="2"/>
  <c r="AY28" i="2"/>
  <c r="AY27" i="2" s="1"/>
  <c r="AY25" i="2"/>
  <c r="AY17" i="2"/>
  <c r="AY13" i="2"/>
  <c r="AY11" i="2"/>
  <c r="AY20" i="2"/>
  <c r="AY14" i="2"/>
  <c r="AY19" i="2"/>
  <c r="AY18" i="2"/>
  <c r="AY16" i="2"/>
  <c r="AY21" i="2"/>
  <c r="AH24" i="2" l="1"/>
  <c r="AH18" i="2"/>
  <c r="AH14" i="2"/>
  <c r="AH12" i="2"/>
  <c r="AI12" i="2" s="1"/>
  <c r="AH13" i="2"/>
  <c r="AH28" i="2"/>
  <c r="AI28" i="2" s="1"/>
  <c r="AH25" i="2"/>
  <c r="AH27" i="2"/>
  <c r="AH26" i="2"/>
  <c r="AH19" i="2"/>
  <c r="AH29" i="2"/>
  <c r="AH17" i="2"/>
  <c r="AI17" i="2" s="1"/>
  <c r="AH22" i="2"/>
  <c r="AH16" i="2"/>
  <c r="AH20" i="2"/>
  <c r="AI20" i="2" s="1"/>
  <c r="AH23" i="2"/>
  <c r="AH15" i="2"/>
  <c r="AH21" i="2"/>
  <c r="AH33" i="2"/>
  <c r="BA10" i="2"/>
  <c r="AZ26" i="2"/>
  <c r="AZ22" i="2"/>
  <c r="AZ33" i="2"/>
  <c r="AZ29" i="2"/>
  <c r="AZ28" i="2"/>
  <c r="AZ27" i="2" s="1"/>
  <c r="AZ19" i="2"/>
  <c r="AZ18" i="2"/>
  <c r="AZ17" i="2"/>
  <c r="AZ16" i="2" s="1"/>
  <c r="AZ14" i="2"/>
  <c r="AZ11" i="2"/>
  <c r="AZ15" i="2"/>
  <c r="AZ24" i="2"/>
  <c r="AZ23" i="2"/>
  <c r="AZ20" i="2"/>
  <c r="AZ21" i="2"/>
  <c r="AZ25" i="2"/>
  <c r="AZ13" i="2"/>
  <c r="AZ12" i="2"/>
  <c r="N33" i="2" l="1"/>
  <c r="AI33" i="2"/>
  <c r="Q33" i="2" s="1"/>
  <c r="P33" i="2"/>
  <c r="P29" i="2"/>
  <c r="AI29" i="2"/>
  <c r="Q29" i="2" s="1"/>
  <c r="N29" i="2"/>
  <c r="AI16" i="2"/>
  <c r="Q16" i="2" s="1"/>
  <c r="P16" i="2"/>
  <c r="N16" i="2"/>
  <c r="AH11" i="2"/>
  <c r="N25" i="2"/>
  <c r="P25" i="2"/>
  <c r="AI25" i="2"/>
  <c r="Q25" i="2" s="1"/>
  <c r="N14" i="2"/>
  <c r="AI14" i="2"/>
  <c r="Q14" i="2" s="1"/>
  <c r="P14" i="2"/>
  <c r="P15" i="2"/>
  <c r="AI15" i="2"/>
  <c r="Q15" i="2" s="1"/>
  <c r="N15" i="2"/>
  <c r="AI22" i="2"/>
  <c r="Q22" i="2" s="1"/>
  <c r="P22" i="2"/>
  <c r="N22" i="2"/>
  <c r="N19" i="2"/>
  <c r="AI19" i="2"/>
  <c r="Q19" i="2" s="1"/>
  <c r="P19" i="2"/>
  <c r="AI18" i="2"/>
  <c r="Q18" i="2" s="1"/>
  <c r="N18" i="2"/>
  <c r="P18" i="2"/>
  <c r="N27" i="2"/>
  <c r="AI27" i="2"/>
  <c r="Q27" i="2" s="1"/>
  <c r="P27" i="2"/>
  <c r="BA29" i="2"/>
  <c r="BA25" i="2"/>
  <c r="BA19" i="2"/>
  <c r="BA33" i="2"/>
  <c r="BA13" i="2"/>
  <c r="BA20" i="2"/>
  <c r="BA28" i="2"/>
  <c r="BB28" i="2" s="1"/>
  <c r="BA26" i="2"/>
  <c r="BA18" i="2"/>
  <c r="BA14" i="2"/>
  <c r="BA12" i="2"/>
  <c r="BB12" i="2" s="1"/>
  <c r="BA27" i="2"/>
  <c r="BA22" i="2"/>
  <c r="BA17" i="2"/>
  <c r="BB17" i="2" s="1"/>
  <c r="BA15" i="2"/>
  <c r="BA11" i="2"/>
  <c r="BA24" i="2"/>
  <c r="BA16" i="2"/>
  <c r="BA21" i="2"/>
  <c r="BA23" i="2"/>
  <c r="AI23" i="2"/>
  <c r="Q23" i="2" s="1"/>
  <c r="N23" i="2"/>
  <c r="P23" i="2"/>
  <c r="N26" i="2"/>
  <c r="AI26" i="2"/>
  <c r="Q26" i="2" s="1"/>
  <c r="P26" i="2"/>
  <c r="N13" i="2"/>
  <c r="AI13" i="2"/>
  <c r="Q13" i="2" s="1"/>
  <c r="P13" i="2"/>
  <c r="N24" i="2"/>
  <c r="AI24" i="2"/>
  <c r="Q24" i="2" s="1"/>
  <c r="P24" i="2"/>
  <c r="BB24" i="2" l="1"/>
  <c r="K24" i="2" s="1"/>
  <c r="H24" i="2"/>
  <c r="J24" i="2"/>
  <c r="H22" i="2"/>
  <c r="BB22" i="2"/>
  <c r="K22" i="2" s="1"/>
  <c r="J22" i="2"/>
  <c r="BB18" i="2"/>
  <c r="K18" i="2" s="1"/>
  <c r="J18" i="2"/>
  <c r="H18" i="2"/>
  <c r="BB13" i="2"/>
  <c r="K13" i="2" s="1"/>
  <c r="J13" i="2"/>
  <c r="H13" i="2"/>
  <c r="BB29" i="2"/>
  <c r="K29" i="2" s="1"/>
  <c r="J29" i="2"/>
  <c r="H29" i="2"/>
  <c r="BB23" i="2"/>
  <c r="K23" i="2" s="1"/>
  <c r="H23" i="2"/>
  <c r="J23" i="2"/>
  <c r="BB11" i="2"/>
  <c r="K11" i="2" s="1"/>
  <c r="H11" i="2"/>
  <c r="J11" i="2"/>
  <c r="BB27" i="2"/>
  <c r="K27" i="2" s="1"/>
  <c r="J27" i="2"/>
  <c r="H27" i="2"/>
  <c r="J26" i="2"/>
  <c r="BB26" i="2"/>
  <c r="K26" i="2" s="1"/>
  <c r="H26" i="2"/>
  <c r="BB33" i="2"/>
  <c r="K33" i="2" s="1"/>
  <c r="J33" i="2"/>
  <c r="H33" i="2"/>
  <c r="H15" i="2"/>
  <c r="G13" i="2" s="1"/>
  <c r="BB15" i="2"/>
  <c r="K15" i="2" s="1"/>
  <c r="J15" i="2"/>
  <c r="BB19" i="2"/>
  <c r="K19" i="2" s="1"/>
  <c r="H19" i="2"/>
  <c r="J19" i="2"/>
  <c r="P11" i="2"/>
  <c r="AI11" i="2"/>
  <c r="Q11" i="2" s="1"/>
  <c r="N11" i="2"/>
  <c r="J16" i="2"/>
  <c r="BB16" i="2"/>
  <c r="K16" i="2" s="1"/>
  <c r="H16" i="2"/>
  <c r="J14" i="2"/>
  <c r="H14" i="2"/>
  <c r="BB14" i="2"/>
  <c r="K14" i="2" s="1"/>
  <c r="BB20" i="2"/>
  <c r="H20" i="2"/>
  <c r="J20" i="2"/>
  <c r="BB25" i="2"/>
  <c r="K25" i="2" s="1"/>
  <c r="H25" i="2"/>
  <c r="J25" i="2"/>
</calcChain>
</file>

<file path=xl/sharedStrings.xml><?xml version="1.0" encoding="utf-8"?>
<sst xmlns="http://schemas.openxmlformats.org/spreadsheetml/2006/main" count="137" uniqueCount="80">
  <si>
    <t>2. IRR IS THE INTERNAL RATE OF RETURN USING ONLY 15 YEARS OF CASH FLOW</t>
    <phoneticPr fontId="9" type="noConversion"/>
  </si>
  <si>
    <t>3. ROI IS BOTH FIRST &amp; SECOND YEAR ROIS, AND IRR IF CASH FLOWS WERE INFINITE</t>
    <phoneticPr fontId="9" type="noConversion"/>
  </si>
  <si>
    <t>ROI YR 1, YR 2</t>
    <phoneticPr fontId="9" type="noConversion"/>
  </si>
  <si>
    <t>included above</t>
    <phoneticPr fontId="9" type="noConversion"/>
  </si>
  <si>
    <t xml:space="preserve"> </t>
    <phoneticPr fontId="9" type="noConversion"/>
  </si>
  <si>
    <t>included above</t>
    <phoneticPr fontId="9" type="noConversion"/>
  </si>
  <si>
    <t>IRR</t>
  </si>
  <si>
    <t>included above</t>
  </si>
  <si>
    <t>NPV (Excel calc)</t>
  </si>
  <si>
    <r>
      <t>Demand Control Ventilation (CO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Sensors)</t>
    </r>
  </si>
  <si>
    <t>Right Sized HVAC Units</t>
  </si>
  <si>
    <t>full cost</t>
    <phoneticPr fontId="9" type="noConversion"/>
  </si>
  <si>
    <t>INCREMENTAL COST ANALYSIS CASH FLOWS 15 YEARS</t>
    <phoneticPr fontId="9" type="noConversion"/>
  </si>
  <si>
    <t>FULL  COST ANALYSIS CASH FLOWS 15 YEARS</t>
    <phoneticPr fontId="9" type="noConversion"/>
  </si>
  <si>
    <t>FULL COST ANALYSIS</t>
    <phoneticPr fontId="9" type="noConversion"/>
  </si>
  <si>
    <r>
      <t>IRR</t>
    </r>
    <r>
      <rPr>
        <b/>
        <sz val="12"/>
        <color indexed="8"/>
        <rFont val="Calibri"/>
        <family val="2"/>
      </rPr>
      <t xml:space="preserve"> 15 YEARS</t>
    </r>
    <phoneticPr fontId="9" type="noConversion"/>
  </si>
  <si>
    <t>PLEASE NOTE:</t>
    <phoneticPr fontId="9" type="noConversion"/>
  </si>
  <si>
    <t>1.  MOI IS THE MULTIPLE ON INVESTMENT USING ONLY 15 YEARS OF CASH FLOW</t>
    <phoneticPr fontId="9" type="noConversion"/>
  </si>
  <si>
    <t>NPV 15 YEARS</t>
    <phoneticPr fontId="9" type="noConversion"/>
  </si>
  <si>
    <t>NPV 15 YEARS</t>
    <phoneticPr fontId="9" type="noConversion"/>
  </si>
  <si>
    <t>included above</t>
    <phoneticPr fontId="9" type="noConversion"/>
  </si>
  <si>
    <t>included above</t>
    <phoneticPr fontId="9" type="noConversion"/>
  </si>
  <si>
    <t>included above</t>
    <phoneticPr fontId="9" type="noConversion"/>
  </si>
  <si>
    <t>included above</t>
    <phoneticPr fontId="9" type="noConversion"/>
  </si>
  <si>
    <t>PAYBACK YRS</t>
    <phoneticPr fontId="9" type="noConversion"/>
  </si>
  <si>
    <t>MOI 15 YR</t>
    <phoneticPr fontId="9" type="noConversion"/>
  </si>
  <si>
    <t>IRR 15 YR</t>
    <phoneticPr fontId="9" type="noConversion"/>
  </si>
  <si>
    <t>NPV @ Disc</t>
    <phoneticPr fontId="9" type="noConversion"/>
  </si>
  <si>
    <t>discount rate</t>
    <phoneticPr fontId="9" type="noConversion"/>
  </si>
  <si>
    <t xml:space="preserve"> </t>
    <phoneticPr fontId="9" type="noConversion"/>
  </si>
  <si>
    <t>iNCREMENTAL COST ANALYSIS</t>
    <phoneticPr fontId="9" type="noConversion"/>
  </si>
  <si>
    <t>cost savings</t>
    <phoneticPr fontId="9" type="noConversion"/>
  </si>
  <si>
    <t xml:space="preserve">    cost savings</t>
    <phoneticPr fontId="9" type="noConversion"/>
  </si>
  <si>
    <t xml:space="preserve">   cost savings</t>
    <phoneticPr fontId="9" type="noConversion"/>
  </si>
  <si>
    <t>NPV @ Disc</t>
    <phoneticPr fontId="9" type="noConversion"/>
  </si>
  <si>
    <t>discount rate</t>
    <phoneticPr fontId="9" type="noConversion"/>
  </si>
  <si>
    <t xml:space="preserve"> </t>
    <phoneticPr fontId="9" type="noConversion"/>
  </si>
  <si>
    <t>FROM EXHIBIT 5</t>
    <phoneticPr fontId="9" type="noConversion"/>
  </si>
  <si>
    <t>Building Windows</t>
  </si>
  <si>
    <t>T-operative</t>
  </si>
  <si>
    <t>102nd Floor Windows</t>
  </si>
  <si>
    <t>Radiative Barrier</t>
  </si>
  <si>
    <t>Green Roof/Cool Roof</t>
  </si>
  <si>
    <t>Balance of DDC</t>
  </si>
  <si>
    <t>Tenant DCV</t>
  </si>
  <si>
    <t>@NPV Calc</t>
    <phoneticPr fontId="9" type="noConversion"/>
  </si>
  <si>
    <t>Additional DDC Controls</t>
  </si>
  <si>
    <t>LED Tower Lighting</t>
  </si>
  <si>
    <t>Retrofit Chiller Plant</t>
  </si>
  <si>
    <t>New Capacity and Riser</t>
  </si>
  <si>
    <t>Corridor Lighting</t>
  </si>
  <si>
    <t>Restroom Lighting</t>
  </si>
  <si>
    <t>Incremental Cost</t>
  </si>
  <si>
    <t>Annual Energy Savings (Once Fully Implemented)</t>
  </si>
  <si>
    <t>Energy Performance Measure</t>
  </si>
  <si>
    <t>Annual Fuel Escalation</t>
  </si>
  <si>
    <t>Annual Construction Escalation</t>
  </si>
  <si>
    <t>Annual Inflation</t>
  </si>
  <si>
    <t>Real Discount Rate</t>
  </si>
  <si>
    <t>Green Rent Premium</t>
  </si>
  <si>
    <t>NPV</t>
  </si>
  <si>
    <t>VAV AHUs</t>
  </si>
  <si>
    <t>Tenant Daylight/Lighting/Plugs</t>
  </si>
  <si>
    <t>Tenant Wall Insulation</t>
  </si>
  <si>
    <t>JCI Tenant Energy Management</t>
  </si>
  <si>
    <t>ESB Tenant Energy Management</t>
  </si>
  <si>
    <t xml:space="preserve"> </t>
    <phoneticPr fontId="9" type="noConversion"/>
  </si>
  <si>
    <t>Power Generation</t>
  </si>
  <si>
    <t>Grand Total</t>
    <phoneticPr fontId="9" type="noConversion"/>
  </si>
  <si>
    <r>
      <t xml:space="preserve">Combined EPM Package (with Incentives </t>
    </r>
    <r>
      <rPr>
        <b/>
        <sz val="11"/>
        <color indexed="8"/>
        <rFont val="Calibri"/>
        <family val="2"/>
      </rPr>
      <t>and</t>
    </r>
    <r>
      <rPr>
        <b/>
        <sz val="11"/>
        <color theme="1"/>
        <rFont val="Calibri"/>
        <family val="2"/>
        <scheme val="minor"/>
      </rPr>
      <t xml:space="preserve"> energy modeling costs)</t>
    </r>
    <phoneticPr fontId="9" type="noConversion"/>
  </si>
  <si>
    <t>NA</t>
  </si>
  <si>
    <t>Years of Lease</t>
  </si>
  <si>
    <t>Annual Cash Flow</t>
  </si>
  <si>
    <t>Present Value of Cash Flow</t>
  </si>
  <si>
    <t>Annual Energy Savings</t>
  </si>
  <si>
    <t>Year 1 ROI</t>
  </si>
  <si>
    <t>total</t>
  </si>
  <si>
    <t>Daylight Harvesting Controls</t>
  </si>
  <si>
    <t>High Efficiency Lighitng</t>
  </si>
  <si>
    <t>Plug Load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</si>
</sst>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name val="Verdana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3" xfId="0" applyBorder="1"/>
    <xf numFmtId="9" fontId="0" fillId="0" borderId="5" xfId="0" applyNumberFormat="1" applyBorder="1"/>
    <xf numFmtId="9" fontId="0" fillId="0" borderId="6" xfId="0" applyNumberFormat="1" applyBorder="1"/>
    <xf numFmtId="0" fontId="0" fillId="0" borderId="1" xfId="0" applyBorder="1" applyAlignment="1">
      <alignment wrapText="1"/>
    </xf>
    <xf numFmtId="9" fontId="0" fillId="0" borderId="1" xfId="2" applyFont="1" applyBorder="1" applyAlignment="1">
      <alignment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2" fontId="0" fillId="2" borderId="1" xfId="2" applyNumberFormat="1" applyFont="1" applyFill="1" applyBorder="1" applyAlignment="1">
      <alignment wrapText="1"/>
    </xf>
    <xf numFmtId="0" fontId="1" fillId="0" borderId="0" xfId="0" applyFont="1"/>
    <xf numFmtId="0" fontId="1" fillId="0" borderId="1" xfId="0" applyFont="1" applyFill="1" applyBorder="1" applyAlignment="1">
      <alignment wrapText="1"/>
    </xf>
    <xf numFmtId="0" fontId="0" fillId="0" borderId="1" xfId="0" applyBorder="1"/>
    <xf numFmtId="0" fontId="1" fillId="0" borderId="1" xfId="0" applyFont="1" applyBorder="1"/>
    <xf numFmtId="44" fontId="0" fillId="0" borderId="1" xfId="1" applyFont="1" applyBorder="1" applyAlignment="1">
      <alignment wrapText="1"/>
    </xf>
    <xf numFmtId="44" fontId="0" fillId="0" borderId="10" xfId="1" applyFont="1" applyBorder="1" applyAlignment="1">
      <alignment wrapText="1"/>
    </xf>
    <xf numFmtId="0" fontId="1" fillId="0" borderId="0" xfId="0" applyFont="1" applyBorder="1" applyAlignment="1">
      <alignment wrapText="1"/>
    </xf>
    <xf numFmtId="8" fontId="0" fillId="0" borderId="0" xfId="0" applyNumberFormat="1"/>
    <xf numFmtId="0" fontId="0" fillId="0" borderId="0" xfId="0" applyBorder="1"/>
    <xf numFmtId="0" fontId="1" fillId="0" borderId="0" xfId="0" applyFont="1" applyFill="1" applyBorder="1" applyAlignment="1">
      <alignment wrapText="1"/>
    </xf>
    <xf numFmtId="9" fontId="0" fillId="0" borderId="0" xfId="2" applyFont="1" applyBorder="1"/>
    <xf numFmtId="8" fontId="0" fillId="0" borderId="1" xfId="2" applyNumberFormat="1" applyFont="1" applyBorder="1"/>
    <xf numFmtId="164" fontId="0" fillId="0" borderId="1" xfId="0" applyNumberFormat="1" applyFill="1" applyBorder="1" applyAlignment="1">
      <alignment horizontal="center"/>
    </xf>
    <xf numFmtId="0" fontId="0" fillId="4" borderId="3" xfId="0" applyFill="1" applyBorder="1"/>
    <xf numFmtId="9" fontId="0" fillId="4" borderId="6" xfId="0" applyNumberFormat="1" applyFill="1" applyBorder="1"/>
    <xf numFmtId="0" fontId="0" fillId="3" borderId="3" xfId="0" applyFill="1" applyBorder="1"/>
    <xf numFmtId="9" fontId="0" fillId="3" borderId="6" xfId="0" applyNumberFormat="1" applyFill="1" applyBorder="1"/>
    <xf numFmtId="0" fontId="0" fillId="3" borderId="4" xfId="0" applyFill="1" applyBorder="1"/>
    <xf numFmtId="9" fontId="0" fillId="3" borderId="7" xfId="0" applyNumberFormat="1" applyFill="1" applyBorder="1"/>
    <xf numFmtId="164" fontId="0" fillId="0" borderId="1" xfId="0" applyNumberFormat="1" applyFill="1" applyBorder="1" applyAlignment="1">
      <alignment horizontal="center" vertical="center"/>
    </xf>
    <xf numFmtId="9" fontId="0" fillId="0" borderId="11" xfId="2" applyFont="1" applyFill="1" applyBorder="1" applyAlignment="1">
      <alignment horizontal="left"/>
    </xf>
    <xf numFmtId="164" fontId="0" fillId="0" borderId="12" xfId="0" applyNumberFormat="1" applyFill="1" applyBorder="1" applyAlignment="1">
      <alignment horizontal="center" vertical="center"/>
    </xf>
    <xf numFmtId="9" fontId="4" fillId="0" borderId="11" xfId="2" applyFont="1" applyFill="1" applyBorder="1" applyAlignment="1">
      <alignment horizontal="left"/>
    </xf>
    <xf numFmtId="164" fontId="0" fillId="0" borderId="12" xfId="0" applyNumberForma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9" fontId="3" fillId="0" borderId="11" xfId="2" applyFont="1" applyFill="1" applyBorder="1" applyAlignment="1">
      <alignment horizontal="left"/>
    </xf>
    <xf numFmtId="9" fontId="3" fillId="0" borderId="20" xfId="2" applyFont="1" applyFill="1" applyBorder="1" applyAlignment="1">
      <alignment horizontal="left"/>
    </xf>
    <xf numFmtId="0" fontId="5" fillId="0" borderId="18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0" xfId="0" applyFont="1"/>
    <xf numFmtId="44" fontId="0" fillId="0" borderId="8" xfId="1" applyFont="1" applyBorder="1" applyAlignment="1">
      <alignment wrapText="1"/>
    </xf>
    <xf numFmtId="0" fontId="5" fillId="0" borderId="18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19" xfId="0" applyFont="1" applyFill="1" applyBorder="1" applyAlignment="1">
      <alignment horizontal="center" wrapText="1"/>
    </xf>
    <xf numFmtId="0" fontId="0" fillId="0" borderId="16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20" xfId="0" applyBorder="1" applyAlignment="1">
      <alignment wrapText="1"/>
    </xf>
    <xf numFmtId="0" fontId="1" fillId="0" borderId="14" xfId="0" applyFont="1" applyBorder="1" applyAlignment="1">
      <alignment wrapText="1"/>
    </xf>
    <xf numFmtId="44" fontId="1" fillId="0" borderId="22" xfId="1" applyFont="1" applyBorder="1" applyAlignment="1">
      <alignment wrapText="1"/>
    </xf>
    <xf numFmtId="0" fontId="5" fillId="0" borderId="24" xfId="0" applyFont="1" applyFill="1" applyBorder="1" applyAlignment="1">
      <alignment horizontal="center" wrapText="1"/>
    </xf>
    <xf numFmtId="165" fontId="0" fillId="0" borderId="25" xfId="0" applyNumberFormat="1" applyBorder="1"/>
    <xf numFmtId="165" fontId="0" fillId="0" borderId="9" xfId="0" applyNumberFormat="1" applyBorder="1"/>
    <xf numFmtId="165" fontId="3" fillId="0" borderId="9" xfId="0" applyNumberFormat="1" applyFont="1" applyBorder="1"/>
    <xf numFmtId="165" fontId="0" fillId="0" borderId="15" xfId="0" applyNumberFormat="1" applyBorder="1"/>
    <xf numFmtId="165" fontId="0" fillId="0" borderId="26" xfId="0" applyNumberFormat="1" applyBorder="1"/>
    <xf numFmtId="0" fontId="5" fillId="0" borderId="19" xfId="0" applyFont="1" applyBorder="1" applyAlignment="1">
      <alignment horizontal="center" wrapText="1"/>
    </xf>
    <xf numFmtId="44" fontId="0" fillId="0" borderId="17" xfId="1" applyFont="1" applyBorder="1" applyAlignment="1">
      <alignment wrapText="1"/>
    </xf>
    <xf numFmtId="44" fontId="0" fillId="0" borderId="12" xfId="1" applyFont="1" applyBorder="1" applyAlignment="1">
      <alignment wrapText="1"/>
    </xf>
    <xf numFmtId="44" fontId="0" fillId="0" borderId="13" xfId="1" applyFont="1" applyBorder="1" applyAlignment="1">
      <alignment wrapText="1"/>
    </xf>
    <xf numFmtId="44" fontId="1" fillId="0" borderId="23" xfId="1" applyFont="1" applyBorder="1" applyAlignment="1">
      <alignment wrapText="1"/>
    </xf>
    <xf numFmtId="9" fontId="0" fillId="0" borderId="0" xfId="0" applyNumberFormat="1" applyBorder="1"/>
    <xf numFmtId="9" fontId="0" fillId="3" borderId="0" xfId="0" applyNumberFormat="1" applyFill="1" applyBorder="1"/>
    <xf numFmtId="9" fontId="0" fillId="4" borderId="0" xfId="0" applyNumberFormat="1" applyFill="1" applyBorder="1"/>
    <xf numFmtId="164" fontId="0" fillId="0" borderId="29" xfId="0" applyNumberFormat="1" applyFill="1" applyBorder="1" applyAlignment="1">
      <alignment horizontal="center" vertical="center"/>
    </xf>
    <xf numFmtId="164" fontId="0" fillId="0" borderId="29" xfId="0" applyNumberFormat="1" applyFill="1" applyBorder="1" applyAlignment="1">
      <alignment horizontal="center"/>
    </xf>
    <xf numFmtId="164" fontId="0" fillId="0" borderId="30" xfId="0" applyNumberFormat="1" applyFill="1" applyBorder="1" applyAlignment="1">
      <alignment horizontal="center"/>
    </xf>
    <xf numFmtId="0" fontId="11" fillId="0" borderId="2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2" fontId="0" fillId="0" borderId="1" xfId="0" applyNumberFormat="1" applyBorder="1"/>
    <xf numFmtId="10" fontId="0" fillId="0" borderId="1" xfId="0" applyNumberFormat="1" applyBorder="1"/>
    <xf numFmtId="2" fontId="0" fillId="0" borderId="1" xfId="0" applyNumberFormat="1" applyBorder="1"/>
    <xf numFmtId="9" fontId="0" fillId="4" borderId="1" xfId="2" applyFont="1" applyFill="1" applyBorder="1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29" xfId="0" applyNumberFormat="1" applyBorder="1" applyAlignment="1">
      <alignment horizontal="center" vertical="center"/>
    </xf>
    <xf numFmtId="9" fontId="0" fillId="0" borderId="31" xfId="0" applyNumberFormat="1" applyBorder="1" applyAlignment="1">
      <alignment horizontal="center" vertical="center"/>
    </xf>
    <xf numFmtId="0" fontId="0" fillId="0" borderId="31" xfId="0" applyBorder="1"/>
    <xf numFmtId="0" fontId="12" fillId="0" borderId="32" xfId="0" applyFont="1" applyBorder="1"/>
    <xf numFmtId="0" fontId="0" fillId="0" borderId="32" xfId="0" applyBorder="1"/>
    <xf numFmtId="10" fontId="0" fillId="0" borderId="32" xfId="0" applyNumberFormat="1" applyBorder="1"/>
    <xf numFmtId="0" fontId="0" fillId="0" borderId="33" xfId="0" applyBorder="1"/>
    <xf numFmtId="0" fontId="0" fillId="0" borderId="3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10" fontId="0" fillId="0" borderId="32" xfId="0" applyNumberFormat="1" applyBorder="1" applyAlignment="1">
      <alignment horizontal="center" vertical="center"/>
    </xf>
    <xf numFmtId="0" fontId="0" fillId="0" borderId="34" xfId="0" applyBorder="1"/>
    <xf numFmtId="0" fontId="0" fillId="0" borderId="35" xfId="0" applyBorder="1" applyAlignment="1">
      <alignment horizontal="center" vertical="center"/>
    </xf>
    <xf numFmtId="0" fontId="12" fillId="0" borderId="0" xfId="0" applyFont="1" applyBorder="1" applyAlignment="1">
      <alignment horizontal="right"/>
    </xf>
    <xf numFmtId="0" fontId="0" fillId="0" borderId="29" xfId="0" applyBorder="1"/>
    <xf numFmtId="164" fontId="0" fillId="0" borderId="36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29" xfId="0" applyNumberFormat="1" applyBorder="1"/>
    <xf numFmtId="0" fontId="11" fillId="0" borderId="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2" fontId="0" fillId="0" borderId="9" xfId="0" applyNumberFormat="1" applyBorder="1"/>
    <xf numFmtId="0" fontId="0" fillId="0" borderId="35" xfId="0" applyBorder="1"/>
    <xf numFmtId="9" fontId="0" fillId="5" borderId="0" xfId="2" applyFont="1" applyFill="1" applyBorder="1" applyAlignment="1">
      <alignment horizontal="center"/>
    </xf>
    <xf numFmtId="0" fontId="11" fillId="0" borderId="37" xfId="0" applyFont="1" applyBorder="1" applyAlignment="1">
      <alignment horizontal="center" vertical="center"/>
    </xf>
    <xf numFmtId="9" fontId="0" fillId="5" borderId="36" xfId="2" applyFont="1" applyFill="1" applyBorder="1" applyAlignment="1">
      <alignment horizontal="center"/>
    </xf>
    <xf numFmtId="9" fontId="0" fillId="5" borderId="32" xfId="2" applyFont="1" applyFill="1" applyBorder="1" applyAlignment="1">
      <alignment horizontal="center"/>
    </xf>
    <xf numFmtId="10" fontId="0" fillId="0" borderId="29" xfId="0" applyNumberFormat="1" applyBorder="1"/>
    <xf numFmtId="0" fontId="0" fillId="0" borderId="38" xfId="0" applyBorder="1"/>
    <xf numFmtId="8" fontId="0" fillId="0" borderId="0" xfId="0" applyNumberFormat="1"/>
    <xf numFmtId="6" fontId="0" fillId="0" borderId="0" xfId="0" applyNumberFormat="1"/>
    <xf numFmtId="166" fontId="0" fillId="0" borderId="0" xfId="0" applyNumberFormat="1"/>
    <xf numFmtId="9" fontId="0" fillId="6" borderId="16" xfId="2" applyFont="1" applyFill="1" applyBorder="1" applyAlignment="1">
      <alignment horizontal="left"/>
    </xf>
    <xf numFmtId="164" fontId="0" fillId="6" borderId="8" xfId="0" applyNumberFormat="1" applyFill="1" applyBorder="1" applyAlignment="1">
      <alignment horizontal="center" vertical="center"/>
    </xf>
    <xf numFmtId="164" fontId="0" fillId="6" borderId="28" xfId="0" applyNumberFormat="1" applyFill="1" applyBorder="1" applyAlignment="1">
      <alignment horizontal="center" vertical="center"/>
    </xf>
    <xf numFmtId="164" fontId="0" fillId="6" borderId="17" xfId="0" applyNumberFormat="1" applyFill="1" applyBorder="1" applyAlignment="1">
      <alignment horizontal="center" vertical="center"/>
    </xf>
    <xf numFmtId="0" fontId="0" fillId="6" borderId="0" xfId="0" applyFill="1"/>
    <xf numFmtId="2" fontId="0" fillId="6" borderId="1" xfId="0" applyNumberFormat="1" applyFill="1" applyBorder="1"/>
    <xf numFmtId="10" fontId="0" fillId="6" borderId="29" xfId="0" applyNumberFormat="1" applyFill="1" applyBorder="1"/>
    <xf numFmtId="9" fontId="0" fillId="6" borderId="36" xfId="2" applyFont="1" applyFill="1" applyBorder="1" applyAlignment="1">
      <alignment horizontal="center"/>
    </xf>
    <xf numFmtId="2" fontId="0" fillId="6" borderId="9" xfId="0" applyNumberFormat="1" applyFill="1" applyBorder="1"/>
    <xf numFmtId="10" fontId="0" fillId="6" borderId="1" xfId="0" applyNumberFormat="1" applyFill="1" applyBorder="1"/>
    <xf numFmtId="9" fontId="0" fillId="6" borderId="8" xfId="0" applyNumberFormat="1" applyFill="1" applyBorder="1" applyAlignment="1">
      <alignment horizontal="center" vertical="center"/>
    </xf>
    <xf numFmtId="9" fontId="0" fillId="6" borderId="28" xfId="0" applyNumberFormat="1" applyFill="1" applyBorder="1" applyAlignment="1">
      <alignment horizontal="center" vertical="center"/>
    </xf>
    <xf numFmtId="164" fontId="0" fillId="6" borderId="11" xfId="0" applyNumberFormat="1" applyFill="1" applyBorder="1" applyAlignment="1">
      <alignment horizontal="left"/>
    </xf>
    <xf numFmtId="2" fontId="0" fillId="6" borderId="1" xfId="0" applyNumberFormat="1" applyFill="1" applyBorder="1" applyAlignment="1">
      <alignment horizontal="center"/>
    </xf>
    <xf numFmtId="164" fontId="0" fillId="6" borderId="12" xfId="0" applyNumberFormat="1" applyFill="1" applyBorder="1" applyAlignment="1">
      <alignment horizontal="center" vertical="center"/>
    </xf>
    <xf numFmtId="2" fontId="0" fillId="6" borderId="29" xfId="0" applyNumberFormat="1" applyFill="1" applyBorder="1" applyAlignment="1">
      <alignment horizontal="center"/>
    </xf>
    <xf numFmtId="2" fontId="0" fillId="6" borderId="36" xfId="0" applyNumberFormat="1" applyFill="1" applyBorder="1" applyAlignment="1">
      <alignment horizontal="center"/>
    </xf>
    <xf numFmtId="2" fontId="0" fillId="6" borderId="9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 vertical="center"/>
    </xf>
    <xf numFmtId="9" fontId="0" fillId="6" borderId="29" xfId="0" applyNumberFormat="1" applyFill="1" applyBorder="1" applyAlignment="1">
      <alignment horizontal="center" vertical="center"/>
    </xf>
    <xf numFmtId="9" fontId="0" fillId="6" borderId="11" xfId="2" applyFont="1" applyFill="1" applyBorder="1" applyAlignment="1">
      <alignment horizontal="left"/>
    </xf>
    <xf numFmtId="164" fontId="0" fillId="6" borderId="29" xfId="0" applyNumberFormat="1" applyFill="1" applyBorder="1" applyAlignment="1">
      <alignment horizontal="center" vertical="center"/>
    </xf>
    <xf numFmtId="164" fontId="0" fillId="6" borderId="29" xfId="0" applyNumberFormat="1" applyFill="1" applyBorder="1" applyAlignment="1">
      <alignment horizontal="center"/>
    </xf>
    <xf numFmtId="164" fontId="0" fillId="6" borderId="12" xfId="0" applyNumberFormat="1" applyFill="1" applyBorder="1" applyAlignment="1">
      <alignment horizontal="center"/>
    </xf>
    <xf numFmtId="2" fontId="10" fillId="6" borderId="1" xfId="0" applyNumberFormat="1" applyFont="1" applyFill="1" applyBorder="1" applyAlignment="1">
      <alignment horizontal="center"/>
    </xf>
    <xf numFmtId="0" fontId="0" fillId="0" borderId="0" xfId="0" quotePrefix="1"/>
    <xf numFmtId="164" fontId="0" fillId="6" borderId="1" xfId="2" applyNumberFormat="1" applyFont="1" applyFill="1" applyBorder="1" applyAlignment="1">
      <alignment horizontal="center"/>
    </xf>
    <xf numFmtId="164" fontId="0" fillId="6" borderId="8" xfId="2" applyNumberFormat="1" applyFont="1" applyFill="1" applyBorder="1" applyAlignment="1">
      <alignment horizontal="center"/>
    </xf>
    <xf numFmtId="8" fontId="0" fillId="6" borderId="8" xfId="0" applyNumberFormat="1" applyFill="1" applyBorder="1"/>
    <xf numFmtId="8" fontId="0" fillId="6" borderId="8" xfId="0" applyNumberFormat="1" applyFill="1" applyBorder="1" applyAlignment="1">
      <alignment horizontal="center" vertical="center"/>
    </xf>
    <xf numFmtId="8" fontId="0" fillId="6" borderId="1" xfId="0" applyNumberFormat="1" applyFill="1" applyBorder="1"/>
    <xf numFmtId="8" fontId="0" fillId="6" borderId="1" xfId="0" applyNumberFormat="1" applyFill="1" applyBorder="1" applyAlignment="1">
      <alignment horizontal="center" vertical="center"/>
    </xf>
    <xf numFmtId="8" fontId="0" fillId="0" borderId="1" xfId="0" applyNumberFormat="1" applyBorder="1"/>
    <xf numFmtId="8" fontId="0" fillId="0" borderId="1" xfId="0" applyNumberFormat="1" applyBorder="1" applyAlignment="1">
      <alignment horizontal="center" vertical="center"/>
    </xf>
    <xf numFmtId="8" fontId="0" fillId="0" borderId="8" xfId="0" applyNumberFormat="1" applyBorder="1" applyAlignment="1">
      <alignment horizontal="center" vertical="center"/>
    </xf>
    <xf numFmtId="6" fontId="0" fillId="6" borderId="8" xfId="0" applyNumberFormat="1" applyFill="1" applyBorder="1" applyAlignment="1">
      <alignment horizontal="center" vertical="center"/>
    </xf>
    <xf numFmtId="6" fontId="0" fillId="6" borderId="1" xfId="0" applyNumberFormat="1" applyFill="1" applyBorder="1" applyAlignment="1">
      <alignment horizontal="center" vertical="center"/>
    </xf>
    <xf numFmtId="6" fontId="0" fillId="0" borderId="8" xfId="0" applyNumberFormat="1" applyFill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6" fontId="0" fillId="0" borderId="8" xfId="0" applyNumberFormat="1" applyBorder="1" applyAlignment="1">
      <alignment horizontal="center" vertical="center"/>
    </xf>
    <xf numFmtId="38" fontId="0" fillId="0" borderId="1" xfId="0" applyNumberFormat="1" applyBorder="1"/>
    <xf numFmtId="38" fontId="1" fillId="0" borderId="1" xfId="0" applyNumberFormat="1" applyFont="1" applyBorder="1"/>
    <xf numFmtId="38" fontId="0" fillId="0" borderId="0" xfId="0" applyNumberFormat="1"/>
    <xf numFmtId="38" fontId="0" fillId="0" borderId="1" xfId="1" applyNumberFormat="1" applyFont="1" applyBorder="1"/>
    <xf numFmtId="38" fontId="1" fillId="0" borderId="1" xfId="1" applyNumberFormat="1" applyFont="1" applyFill="1" applyBorder="1"/>
    <xf numFmtId="38" fontId="1" fillId="0" borderId="1" xfId="1" applyNumberFormat="1" applyFont="1" applyBorder="1" applyAlignment="1">
      <alignment wrapText="1"/>
    </xf>
    <xf numFmtId="38" fontId="1" fillId="0" borderId="1" xfId="1" applyNumberFormat="1" applyFont="1" applyBorder="1"/>
    <xf numFmtId="10" fontId="0" fillId="6" borderId="1" xfId="2" applyNumberFormat="1" applyFont="1" applyFill="1" applyBorder="1" applyAlignment="1">
      <alignment horizontal="center"/>
    </xf>
    <xf numFmtId="10" fontId="0" fillId="6" borderId="1" xfId="0" applyNumberFormat="1" applyFill="1" applyBorder="1" applyAlignment="1">
      <alignment horizontal="center"/>
    </xf>
    <xf numFmtId="10" fontId="0" fillId="4" borderId="1" xfId="2" applyNumberFormat="1" applyFont="1" applyFill="1" applyBorder="1" applyAlignment="1">
      <alignment horizontal="center"/>
    </xf>
    <xf numFmtId="10" fontId="0" fillId="6" borderId="8" xfId="2" applyNumberFormat="1" applyFont="1" applyFill="1" applyBorder="1" applyAlignment="1">
      <alignment horizontal="center"/>
    </xf>
    <xf numFmtId="10" fontId="4" fillId="4" borderId="1" xfId="2" applyNumberFormat="1" applyFont="1" applyFill="1" applyBorder="1" applyAlignment="1">
      <alignment horizontal="center"/>
    </xf>
    <xf numFmtId="10" fontId="0" fillId="0" borderId="17" xfId="2" applyNumberFormat="1" applyFont="1" applyBorder="1"/>
    <xf numFmtId="10" fontId="0" fillId="0" borderId="12" xfId="2" applyNumberFormat="1" applyFont="1" applyBorder="1"/>
    <xf numFmtId="10" fontId="8" fillId="0" borderId="12" xfId="2" applyNumberFormat="1" applyFont="1" applyBorder="1"/>
    <xf numFmtId="10" fontId="0" fillId="0" borderId="13" xfId="2" applyNumberFormat="1" applyFont="1" applyBorder="1"/>
    <xf numFmtId="10" fontId="0" fillId="0" borderId="23" xfId="2" applyNumberFormat="1" applyFont="1" applyBorder="1"/>
    <xf numFmtId="10" fontId="0" fillId="0" borderId="1" xfId="2" applyNumberFormat="1" applyFont="1" applyBorder="1"/>
    <xf numFmtId="10" fontId="0" fillId="0" borderId="10" xfId="2" applyNumberFormat="1" applyFont="1" applyBorder="1"/>
    <xf numFmtId="10" fontId="0" fillId="0" borderId="8" xfId="2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FF0000"/>
      </font>
    </dxf>
  </dxfs>
  <tableStyles count="0" defaultTableStyle="TableStyleMedium2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I33"/>
  <sheetViews>
    <sheetView zoomScale="90" zoomScaleNormal="90" zoomScalePageLayoutView="90" workbookViewId="0">
      <pane xSplit="2" topLeftCell="D1" activePane="topRight" state="frozen"/>
      <selection activeCell="A10" sqref="A10"/>
      <selection pane="topRight" activeCell="O5" sqref="O5"/>
    </sheetView>
  </sheetViews>
  <sheetFormatPr baseColWidth="10" defaultColWidth="8.83203125" defaultRowHeight="15" x14ac:dyDescent="0.2"/>
  <cols>
    <col min="2" max="2" width="28.83203125" customWidth="1"/>
    <col min="3" max="4" width="16.5" customWidth="1"/>
    <col min="5" max="5" width="19.33203125" customWidth="1"/>
    <col min="6" max="6" width="3.5" customWidth="1"/>
    <col min="7" max="11" width="15.1640625" customWidth="1"/>
    <col min="12" max="12" width="2.5" customWidth="1"/>
    <col min="13" max="17" width="15.1640625" customWidth="1"/>
    <col min="18" max="18" width="16.1640625" customWidth="1"/>
    <col min="19" max="19" width="13.5" customWidth="1"/>
    <col min="20" max="21" width="11.6640625" bestFit="1" customWidth="1"/>
    <col min="22" max="25" width="13" bestFit="1" customWidth="1"/>
    <col min="26" max="29" width="11.6640625" bestFit="1" customWidth="1"/>
    <col min="30" max="34" width="12.83203125" bestFit="1" customWidth="1"/>
    <col min="35" max="35" width="17.5" customWidth="1"/>
    <col min="36" max="36" width="12.6640625" customWidth="1"/>
    <col min="37" max="37" width="6" customWidth="1"/>
    <col min="38" max="69" width="12.6640625" customWidth="1"/>
    <col min="70" max="70" width="10.83203125" customWidth="1"/>
    <col min="71" max="71" width="10.5" customWidth="1"/>
    <col min="74" max="75" width="11.1640625" bestFit="1" customWidth="1"/>
    <col min="76" max="84" width="12.6640625" bestFit="1" customWidth="1"/>
    <col min="85" max="88" width="13.83203125" bestFit="1" customWidth="1"/>
    <col min="91" max="91" width="9.33203125" bestFit="1" customWidth="1"/>
    <col min="92" max="104" width="10.1640625" bestFit="1" customWidth="1"/>
    <col min="105" max="105" width="12.5" customWidth="1"/>
    <col min="107" max="107" width="11.83203125" bestFit="1" customWidth="1"/>
    <col min="108" max="108" width="4.1640625" customWidth="1"/>
    <col min="109" max="109" width="13.5" customWidth="1"/>
    <col min="110" max="110" width="3.6640625" customWidth="1"/>
    <col min="111" max="111" width="12" bestFit="1" customWidth="1"/>
    <col min="112" max="112" width="6" customWidth="1"/>
    <col min="113" max="113" width="14.1640625" style="1" customWidth="1"/>
  </cols>
  <sheetData>
    <row r="1" spans="1:113" ht="16" thickBot="1" x14ac:dyDescent="0.25">
      <c r="E1" s="20"/>
    </row>
    <row r="2" spans="1:113" x14ac:dyDescent="0.2">
      <c r="B2" s="3" t="s">
        <v>55</v>
      </c>
      <c r="C2" s="5">
        <v>0</v>
      </c>
      <c r="D2" s="64"/>
      <c r="E2" s="98" t="s">
        <v>16</v>
      </c>
      <c r="G2" s="74" t="s">
        <v>17</v>
      </c>
      <c r="H2" s="74"/>
      <c r="I2" s="74"/>
      <c r="J2" s="74"/>
      <c r="K2" s="74"/>
      <c r="L2" s="74"/>
      <c r="M2" s="74"/>
      <c r="N2" s="74"/>
      <c r="O2" s="74"/>
    </row>
    <row r="3" spans="1:113" x14ac:dyDescent="0.2">
      <c r="B3" s="27" t="s">
        <v>56</v>
      </c>
      <c r="C3" s="28">
        <v>0</v>
      </c>
      <c r="D3" s="65"/>
      <c r="E3" s="20"/>
      <c r="G3" s="74" t="s">
        <v>0</v>
      </c>
      <c r="H3" s="74"/>
      <c r="I3" s="74"/>
      <c r="J3" s="74"/>
      <c r="K3" s="74"/>
      <c r="L3" s="74"/>
      <c r="M3" s="74"/>
      <c r="N3" s="74"/>
      <c r="O3" s="74"/>
    </row>
    <row r="4" spans="1:113" x14ac:dyDescent="0.2">
      <c r="B4" s="4" t="s">
        <v>57</v>
      </c>
      <c r="C4" s="6">
        <v>0</v>
      </c>
      <c r="D4" s="64"/>
      <c r="E4" s="20"/>
      <c r="G4" s="74" t="s">
        <v>1</v>
      </c>
      <c r="H4" s="74"/>
      <c r="I4" s="74"/>
      <c r="J4" s="74"/>
      <c r="K4" s="74"/>
      <c r="L4" s="74"/>
      <c r="M4" s="74"/>
      <c r="N4" s="74"/>
      <c r="O4" s="74"/>
      <c r="AI4" s="114"/>
    </row>
    <row r="5" spans="1:113" x14ac:dyDescent="0.2">
      <c r="B5" s="25" t="s">
        <v>58</v>
      </c>
      <c r="C5" s="26">
        <v>0.1</v>
      </c>
      <c r="D5" s="66"/>
      <c r="E5" s="20"/>
    </row>
    <row r="6" spans="1:113" ht="16" thickBot="1" x14ac:dyDescent="0.25">
      <c r="B6" s="29" t="s">
        <v>59</v>
      </c>
      <c r="C6" s="30">
        <v>0</v>
      </c>
      <c r="D6" s="65"/>
      <c r="E6" s="20"/>
    </row>
    <row r="7" spans="1:113" x14ac:dyDescent="0.2">
      <c r="E7" s="20"/>
      <c r="AE7" s="115" t="s">
        <v>66</v>
      </c>
      <c r="AI7" s="113" t="s">
        <v>66</v>
      </c>
      <c r="AJ7" s="113" t="s">
        <v>66</v>
      </c>
    </row>
    <row r="9" spans="1:113" ht="16" thickBot="1" x14ac:dyDescent="0.25">
      <c r="B9" s="74" t="s">
        <v>37</v>
      </c>
      <c r="G9" s="74" t="s">
        <v>14</v>
      </c>
      <c r="H9" s="74"/>
      <c r="L9" s="106"/>
      <c r="M9" s="74" t="s">
        <v>30</v>
      </c>
      <c r="N9" s="74"/>
      <c r="P9" s="74"/>
      <c r="Q9" s="74"/>
      <c r="S9" s="85"/>
      <c r="T9" s="86" t="s">
        <v>12</v>
      </c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95" t="s">
        <v>29</v>
      </c>
      <c r="AJ9" s="89"/>
      <c r="AL9" s="85"/>
      <c r="AM9" s="86" t="s">
        <v>13</v>
      </c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8" t="str">
        <f>+AI9</f>
        <v xml:space="preserve"> </v>
      </c>
      <c r="BC9" s="89"/>
      <c r="DI9"/>
    </row>
    <row r="10" spans="1:113" ht="52" thickBot="1" x14ac:dyDescent="0.25">
      <c r="B10" s="40" t="s">
        <v>54</v>
      </c>
      <c r="C10" s="41" t="s">
        <v>52</v>
      </c>
      <c r="D10" s="70" t="s">
        <v>11</v>
      </c>
      <c r="E10" s="42" t="s">
        <v>53</v>
      </c>
      <c r="F10" s="43"/>
      <c r="G10" s="75" t="s">
        <v>24</v>
      </c>
      <c r="H10" s="75" t="s">
        <v>25</v>
      </c>
      <c r="I10" s="104" t="s">
        <v>2</v>
      </c>
      <c r="J10" s="75" t="s">
        <v>26</v>
      </c>
      <c r="K10" s="75" t="s">
        <v>19</v>
      </c>
      <c r="L10" s="108"/>
      <c r="M10" s="75" t="s">
        <v>24</v>
      </c>
      <c r="N10" s="103" t="s">
        <v>25</v>
      </c>
      <c r="O10" s="75" t="s">
        <v>2</v>
      </c>
      <c r="P10" s="71" t="s">
        <v>15</v>
      </c>
      <c r="Q10" s="75" t="s">
        <v>18</v>
      </c>
      <c r="S10" s="96">
        <v>0</v>
      </c>
      <c r="T10" s="91">
        <v>1</v>
      </c>
      <c r="U10" s="91">
        <f>T10+1</f>
        <v>2</v>
      </c>
      <c r="V10" s="91">
        <f t="shared" ref="V10:AH10" si="0">U10+1</f>
        <v>3</v>
      </c>
      <c r="W10" s="91">
        <f t="shared" si="0"/>
        <v>4</v>
      </c>
      <c r="X10" s="91">
        <f t="shared" si="0"/>
        <v>5</v>
      </c>
      <c r="Y10" s="91">
        <f t="shared" si="0"/>
        <v>6</v>
      </c>
      <c r="Z10" s="91">
        <f t="shared" si="0"/>
        <v>7</v>
      </c>
      <c r="AA10" s="91">
        <f t="shared" si="0"/>
        <v>8</v>
      </c>
      <c r="AB10" s="91">
        <f t="shared" si="0"/>
        <v>9</v>
      </c>
      <c r="AC10" s="91">
        <f>AB10+1</f>
        <v>10</v>
      </c>
      <c r="AD10" s="91">
        <f t="shared" si="0"/>
        <v>11</v>
      </c>
      <c r="AE10" s="91">
        <f t="shared" si="0"/>
        <v>12</v>
      </c>
      <c r="AF10" s="91">
        <f t="shared" si="0"/>
        <v>13</v>
      </c>
      <c r="AG10" s="91">
        <f>AF10+1</f>
        <v>14</v>
      </c>
      <c r="AH10" s="91">
        <f t="shared" si="0"/>
        <v>15</v>
      </c>
      <c r="AI10" s="91" t="s">
        <v>27</v>
      </c>
      <c r="AJ10" s="97" t="s">
        <v>28</v>
      </c>
      <c r="AK10" s="2"/>
      <c r="AL10" s="90">
        <v>0</v>
      </c>
      <c r="AM10" s="91">
        <f>AL10+1</f>
        <v>1</v>
      </c>
      <c r="AN10" s="91">
        <f t="shared" ref="AN10:BA10" si="1">AM10+1</f>
        <v>2</v>
      </c>
      <c r="AO10" s="91">
        <f t="shared" si="1"/>
        <v>3</v>
      </c>
      <c r="AP10" s="91">
        <f t="shared" si="1"/>
        <v>4</v>
      </c>
      <c r="AQ10" s="91">
        <f t="shared" si="1"/>
        <v>5</v>
      </c>
      <c r="AR10" s="91">
        <f t="shared" si="1"/>
        <v>6</v>
      </c>
      <c r="AS10" s="91">
        <f t="shared" si="1"/>
        <v>7</v>
      </c>
      <c r="AT10" s="91">
        <f t="shared" si="1"/>
        <v>8</v>
      </c>
      <c r="AU10" s="91">
        <f t="shared" si="1"/>
        <v>9</v>
      </c>
      <c r="AV10" s="91">
        <f t="shared" si="1"/>
        <v>10</v>
      </c>
      <c r="AW10" s="91">
        <f t="shared" si="1"/>
        <v>11</v>
      </c>
      <c r="AX10" s="91">
        <f t="shared" si="1"/>
        <v>12</v>
      </c>
      <c r="AY10" s="91">
        <f t="shared" si="1"/>
        <v>13</v>
      </c>
      <c r="AZ10" s="91">
        <f t="shared" si="1"/>
        <v>14</v>
      </c>
      <c r="BA10" s="91">
        <f t="shared" si="1"/>
        <v>15</v>
      </c>
      <c r="BB10" s="92" t="s">
        <v>34</v>
      </c>
      <c r="BC10" s="93" t="s">
        <v>35</v>
      </c>
      <c r="BD10" s="73"/>
      <c r="DI10"/>
    </row>
    <row r="11" spans="1:113" x14ac:dyDescent="0.2">
      <c r="A11">
        <v>1</v>
      </c>
      <c r="B11" s="116" t="s">
        <v>38</v>
      </c>
      <c r="C11" s="117">
        <v>4003768</v>
      </c>
      <c r="D11" s="118">
        <v>4458768</v>
      </c>
      <c r="E11" s="119">
        <v>368343</v>
      </c>
      <c r="F11" s="120"/>
      <c r="G11" s="121">
        <f>+D11/AM11</f>
        <v>10.87822777398263</v>
      </c>
      <c r="H11" s="121">
        <f>SUM(AM11:BA11)/D11</f>
        <v>1.3789010776070878</v>
      </c>
      <c r="I11" s="122">
        <f>-AM11/AL11</f>
        <v>9.1926738507139186E-2</v>
      </c>
      <c r="J11" s="164">
        <f>IRR(AL11:BA11)</f>
        <v>4.313959343095819E-2</v>
      </c>
      <c r="K11" s="143">
        <f>+BB11</f>
        <v>-1341188.13195433</v>
      </c>
      <c r="L11" s="123"/>
      <c r="M11" s="121">
        <f>+C11/T11</f>
        <v>9.7681467746657553</v>
      </c>
      <c r="N11" s="124">
        <f>SUM(T11:AH11)/C11</f>
        <v>1.53560346153923</v>
      </c>
      <c r="O11" s="125">
        <f>-T11/S11</f>
        <v>0.10237356410261533</v>
      </c>
      <c r="P11" s="167">
        <f>IRR(S11:AH11)</f>
        <v>5.9122985227842761E-2</v>
      </c>
      <c r="Q11" s="144">
        <f>+AI11</f>
        <v>-886188.13195433002</v>
      </c>
      <c r="R11" s="120"/>
      <c r="S11" s="145">
        <f>-C11</f>
        <v>-4003768</v>
      </c>
      <c r="T11" s="146">
        <f>$E11*(1+$C$2+$C$4)^T$10+T12</f>
        <v>409880</v>
      </c>
      <c r="U11" s="146">
        <f t="shared" ref="U11:AH11" si="2">$E11*(1+$C$2+$C$4)^U$10+U12</f>
        <v>409880</v>
      </c>
      <c r="V11" s="146">
        <f t="shared" si="2"/>
        <v>409880</v>
      </c>
      <c r="W11" s="146">
        <f t="shared" si="2"/>
        <v>409880</v>
      </c>
      <c r="X11" s="146">
        <f t="shared" si="2"/>
        <v>409880</v>
      </c>
      <c r="Y11" s="146">
        <f t="shared" si="2"/>
        <v>409880</v>
      </c>
      <c r="Z11" s="146">
        <f t="shared" si="2"/>
        <v>409880</v>
      </c>
      <c r="AA11" s="146">
        <f t="shared" si="2"/>
        <v>409880</v>
      </c>
      <c r="AB11" s="146">
        <f t="shared" si="2"/>
        <v>409880</v>
      </c>
      <c r="AC11" s="146">
        <f t="shared" si="2"/>
        <v>409880</v>
      </c>
      <c r="AD11" s="146">
        <f t="shared" si="2"/>
        <v>409880</v>
      </c>
      <c r="AE11" s="146">
        <f t="shared" si="2"/>
        <v>409880</v>
      </c>
      <c r="AF11" s="146">
        <f t="shared" si="2"/>
        <v>409880</v>
      </c>
      <c r="AG11" s="146">
        <f t="shared" si="2"/>
        <v>409880</v>
      </c>
      <c r="AH11" s="146">
        <f t="shared" si="2"/>
        <v>409880</v>
      </c>
      <c r="AI11" s="146">
        <f>NPV(AJ11,T11:AH11)+S11</f>
        <v>-886188.13195433002</v>
      </c>
      <c r="AJ11" s="126">
        <f>+$C$5</f>
        <v>0.1</v>
      </c>
      <c r="AK11" s="127"/>
      <c r="AL11" s="152">
        <f>-D11</f>
        <v>-4458768</v>
      </c>
      <c r="AM11" s="152">
        <f t="shared" ref="AM11:BA11" si="3">$E11*(1+$C$2+$C$4)^AM$10+AM12</f>
        <v>409880</v>
      </c>
      <c r="AN11" s="152">
        <f t="shared" si="3"/>
        <v>409880</v>
      </c>
      <c r="AO11" s="152">
        <f t="shared" si="3"/>
        <v>409880</v>
      </c>
      <c r="AP11" s="152">
        <f t="shared" si="3"/>
        <v>409880</v>
      </c>
      <c r="AQ11" s="152">
        <f t="shared" si="3"/>
        <v>409880</v>
      </c>
      <c r="AR11" s="152">
        <f t="shared" si="3"/>
        <v>409880</v>
      </c>
      <c r="AS11" s="152">
        <f t="shared" si="3"/>
        <v>409880</v>
      </c>
      <c r="AT11" s="152">
        <f t="shared" si="3"/>
        <v>409880</v>
      </c>
      <c r="AU11" s="152">
        <f t="shared" si="3"/>
        <v>409880</v>
      </c>
      <c r="AV11" s="152">
        <f t="shared" si="3"/>
        <v>409880</v>
      </c>
      <c r="AW11" s="152">
        <f t="shared" si="3"/>
        <v>409880</v>
      </c>
      <c r="AX11" s="152">
        <f t="shared" si="3"/>
        <v>409880</v>
      </c>
      <c r="AY11" s="152">
        <f t="shared" si="3"/>
        <v>409880</v>
      </c>
      <c r="AZ11" s="152">
        <f t="shared" si="3"/>
        <v>409880</v>
      </c>
      <c r="BA11" s="152">
        <f t="shared" si="3"/>
        <v>409880</v>
      </c>
      <c r="BB11" s="152">
        <f>NPV(BC11,AM11:BA11)+AL11</f>
        <v>-1341188.13195433</v>
      </c>
      <c r="BC11" s="126">
        <f>+$C$5</f>
        <v>0.1</v>
      </c>
      <c r="BD11" s="72"/>
      <c r="DI11"/>
    </row>
    <row r="12" spans="1:113" x14ac:dyDescent="0.2">
      <c r="A12">
        <v>1</v>
      </c>
      <c r="B12" s="128" t="s">
        <v>39</v>
      </c>
      <c r="C12" s="129" t="s">
        <v>23</v>
      </c>
      <c r="D12" s="129" t="s">
        <v>23</v>
      </c>
      <c r="E12" s="130">
        <v>41537</v>
      </c>
      <c r="F12" s="120"/>
      <c r="G12" s="129" t="s">
        <v>23</v>
      </c>
      <c r="H12" s="129" t="s">
        <v>23</v>
      </c>
      <c r="I12" s="131" t="s">
        <v>23</v>
      </c>
      <c r="J12" s="165" t="s">
        <v>23</v>
      </c>
      <c r="K12" s="129" t="s">
        <v>21</v>
      </c>
      <c r="L12" s="132"/>
      <c r="M12" s="129" t="s">
        <v>23</v>
      </c>
      <c r="N12" s="133" t="s">
        <v>23</v>
      </c>
      <c r="O12" s="129" t="s">
        <v>23</v>
      </c>
      <c r="P12" s="165" t="s">
        <v>7</v>
      </c>
      <c r="Q12" s="134" t="s">
        <v>7</v>
      </c>
      <c r="R12" s="120"/>
      <c r="S12" s="147" t="s">
        <v>29</v>
      </c>
      <c r="T12" s="148">
        <f t="shared" ref="T12:AH28" si="4">$E12*(1+$C$2+$C$4)^T$10</f>
        <v>41537</v>
      </c>
      <c r="U12" s="148">
        <f t="shared" si="4"/>
        <v>41537</v>
      </c>
      <c r="V12" s="148">
        <f t="shared" si="4"/>
        <v>41537</v>
      </c>
      <c r="W12" s="148">
        <f t="shared" si="4"/>
        <v>41537</v>
      </c>
      <c r="X12" s="148">
        <f t="shared" si="4"/>
        <v>41537</v>
      </c>
      <c r="Y12" s="148">
        <f t="shared" si="4"/>
        <v>41537</v>
      </c>
      <c r="Z12" s="148">
        <f t="shared" si="4"/>
        <v>41537</v>
      </c>
      <c r="AA12" s="148">
        <f t="shared" si="4"/>
        <v>41537</v>
      </c>
      <c r="AB12" s="148">
        <f t="shared" si="4"/>
        <v>41537</v>
      </c>
      <c r="AC12" s="148">
        <f t="shared" si="4"/>
        <v>41537</v>
      </c>
      <c r="AD12" s="148">
        <f t="shared" si="4"/>
        <v>41537</v>
      </c>
      <c r="AE12" s="148">
        <f t="shared" si="4"/>
        <v>41537</v>
      </c>
      <c r="AF12" s="148">
        <f t="shared" si="4"/>
        <v>41537</v>
      </c>
      <c r="AG12" s="148">
        <f t="shared" si="4"/>
        <v>41537</v>
      </c>
      <c r="AH12" s="148">
        <f t="shared" si="4"/>
        <v>41537</v>
      </c>
      <c r="AI12" s="146" t="e">
        <f t="shared" ref="AI12:AI29" si="5">NPV(AJ12,T12:AH12)+S12</f>
        <v>#VALUE!</v>
      </c>
      <c r="AJ12" s="126">
        <f t="shared" ref="AJ12:AJ29" si="6">+$C$5</f>
        <v>0.1</v>
      </c>
      <c r="AK12" s="136"/>
      <c r="AL12" s="153"/>
      <c r="AM12" s="153">
        <f t="shared" ref="AM12:BA15" si="7">$E12*(1+$C$2+$C$4)^AM$10</f>
        <v>41537</v>
      </c>
      <c r="AN12" s="153">
        <f t="shared" si="7"/>
        <v>41537</v>
      </c>
      <c r="AO12" s="153">
        <f t="shared" si="7"/>
        <v>41537</v>
      </c>
      <c r="AP12" s="153">
        <f t="shared" si="7"/>
        <v>41537</v>
      </c>
      <c r="AQ12" s="153">
        <f t="shared" si="7"/>
        <v>41537</v>
      </c>
      <c r="AR12" s="153">
        <f t="shared" si="7"/>
        <v>41537</v>
      </c>
      <c r="AS12" s="153">
        <f t="shared" si="7"/>
        <v>41537</v>
      </c>
      <c r="AT12" s="153">
        <f t="shared" si="7"/>
        <v>41537</v>
      </c>
      <c r="AU12" s="153">
        <f t="shared" si="7"/>
        <v>41537</v>
      </c>
      <c r="AV12" s="153">
        <f t="shared" si="7"/>
        <v>41537</v>
      </c>
      <c r="AW12" s="153">
        <f t="shared" si="7"/>
        <v>41537</v>
      </c>
      <c r="AX12" s="153">
        <f t="shared" si="7"/>
        <v>41537</v>
      </c>
      <c r="AY12" s="153">
        <f t="shared" si="7"/>
        <v>41537</v>
      </c>
      <c r="AZ12" s="153">
        <f t="shared" si="7"/>
        <v>41537</v>
      </c>
      <c r="BA12" s="153">
        <f t="shared" si="7"/>
        <v>41537</v>
      </c>
      <c r="BB12" s="152">
        <f t="shared" ref="BB12:BB29" si="8">NPV(BC12,AM12:BA12)+AL12</f>
        <v>315933.72445353033</v>
      </c>
      <c r="BC12" s="126">
        <f t="shared" ref="BC12:BC29" si="9">+$C$5</f>
        <v>0.1</v>
      </c>
      <c r="BD12" s="72"/>
      <c r="DI12"/>
    </row>
    <row r="13" spans="1:113" x14ac:dyDescent="0.2">
      <c r="A13">
        <v>2</v>
      </c>
      <c r="B13" s="38" t="s">
        <v>40</v>
      </c>
      <c r="C13" s="31">
        <v>56430</v>
      </c>
      <c r="D13" s="67">
        <v>56430</v>
      </c>
      <c r="E13" s="33">
        <v>2629</v>
      </c>
      <c r="G13" s="78">
        <f>+D13/AM13+H15</f>
        <v>21.575514093811933</v>
      </c>
      <c r="H13" s="76">
        <f>SUM(AM13:BA13)/D13</f>
        <v>0.69883040935672514</v>
      </c>
      <c r="I13" s="111">
        <f>-AM13/AL13</f>
        <v>4.6588693957115013E-2</v>
      </c>
      <c r="J13" s="166">
        <f>IRR(AL13:BA13)</f>
        <v>-4.1778072507242747E-2</v>
      </c>
      <c r="K13" s="143">
        <f t="shared" ref="K13:K16" si="10">+BB13</f>
        <v>-36433.616977915321</v>
      </c>
      <c r="L13" s="109"/>
      <c r="M13" s="78">
        <f>+C13/T13</f>
        <v>21.464435146443513</v>
      </c>
      <c r="N13" s="105">
        <f>SUM(T13:AH13)/C13</f>
        <v>0.69883040935672514</v>
      </c>
      <c r="O13" s="77">
        <f t="shared" ref="O13:O16" si="11">-T13/S13</f>
        <v>4.6588693957115013E-2</v>
      </c>
      <c r="P13" s="166">
        <f>IRR(S13:AH13)</f>
        <v>-4.1778072507242747E-2</v>
      </c>
      <c r="Q13" s="144">
        <f t="shared" ref="Q13:Q15" si="12">+AI13</f>
        <v>-36433.616977915321</v>
      </c>
      <c r="S13" s="149">
        <f t="shared" ref="S13:S29" si="13">-C13</f>
        <v>-56430</v>
      </c>
      <c r="T13" s="150">
        <f t="shared" si="4"/>
        <v>2629</v>
      </c>
      <c r="U13" s="150">
        <f t="shared" si="4"/>
        <v>2629</v>
      </c>
      <c r="V13" s="150">
        <f t="shared" si="4"/>
        <v>2629</v>
      </c>
      <c r="W13" s="150">
        <f t="shared" si="4"/>
        <v>2629</v>
      </c>
      <c r="X13" s="150">
        <f t="shared" si="4"/>
        <v>2629</v>
      </c>
      <c r="Y13" s="150">
        <f t="shared" si="4"/>
        <v>2629</v>
      </c>
      <c r="Z13" s="150">
        <f t="shared" si="4"/>
        <v>2629</v>
      </c>
      <c r="AA13" s="150">
        <f t="shared" si="4"/>
        <v>2629</v>
      </c>
      <c r="AB13" s="150">
        <f t="shared" si="4"/>
        <v>2629</v>
      </c>
      <c r="AC13" s="150">
        <f t="shared" si="4"/>
        <v>2629</v>
      </c>
      <c r="AD13" s="150">
        <f t="shared" si="4"/>
        <v>2629</v>
      </c>
      <c r="AE13" s="150">
        <f t="shared" si="4"/>
        <v>2629</v>
      </c>
      <c r="AF13" s="150">
        <f t="shared" si="4"/>
        <v>2629</v>
      </c>
      <c r="AG13" s="150">
        <f t="shared" si="4"/>
        <v>2629</v>
      </c>
      <c r="AH13" s="150">
        <f t="shared" si="4"/>
        <v>2629</v>
      </c>
      <c r="AI13" s="151">
        <f t="shared" si="5"/>
        <v>-36433.616977915321</v>
      </c>
      <c r="AJ13" s="81">
        <f t="shared" si="6"/>
        <v>0.1</v>
      </c>
      <c r="AK13" s="83"/>
      <c r="AL13" s="154">
        <f t="shared" ref="AL13:AL16" si="14">-D13</f>
        <v>-56430</v>
      </c>
      <c r="AM13" s="155">
        <f t="shared" si="7"/>
        <v>2629</v>
      </c>
      <c r="AN13" s="155">
        <f t="shared" si="7"/>
        <v>2629</v>
      </c>
      <c r="AO13" s="155">
        <f t="shared" si="7"/>
        <v>2629</v>
      </c>
      <c r="AP13" s="155">
        <f t="shared" si="7"/>
        <v>2629</v>
      </c>
      <c r="AQ13" s="155">
        <f t="shared" si="7"/>
        <v>2629</v>
      </c>
      <c r="AR13" s="155">
        <f t="shared" si="7"/>
        <v>2629</v>
      </c>
      <c r="AS13" s="155">
        <f t="shared" si="7"/>
        <v>2629</v>
      </c>
      <c r="AT13" s="155">
        <f t="shared" si="7"/>
        <v>2629</v>
      </c>
      <c r="AU13" s="155">
        <f t="shared" si="7"/>
        <v>2629</v>
      </c>
      <c r="AV13" s="155">
        <f t="shared" si="7"/>
        <v>2629</v>
      </c>
      <c r="AW13" s="155">
        <f t="shared" si="7"/>
        <v>2629</v>
      </c>
      <c r="AX13" s="155">
        <f t="shared" si="7"/>
        <v>2629</v>
      </c>
      <c r="AY13" s="155">
        <f t="shared" si="7"/>
        <v>2629</v>
      </c>
      <c r="AZ13" s="155">
        <f t="shared" si="7"/>
        <v>2629</v>
      </c>
      <c r="BA13" s="155">
        <f t="shared" si="7"/>
        <v>2629</v>
      </c>
      <c r="BB13" s="156">
        <f t="shared" si="8"/>
        <v>-36433.616977915321</v>
      </c>
      <c r="BC13" s="81">
        <f t="shared" si="9"/>
        <v>0.1</v>
      </c>
      <c r="BD13" s="72"/>
      <c r="DI13"/>
    </row>
    <row r="14" spans="1:113" x14ac:dyDescent="0.2">
      <c r="A14">
        <v>3</v>
      </c>
      <c r="B14" s="34" t="s">
        <v>41</v>
      </c>
      <c r="C14" s="31">
        <v>2684053</v>
      </c>
      <c r="D14" s="67">
        <v>2684053</v>
      </c>
      <c r="E14" s="33">
        <v>190212</v>
      </c>
      <c r="G14" s="78">
        <f>+D14/AM14</f>
        <v>14.110849998948542</v>
      </c>
      <c r="H14" s="76">
        <f>SUM(AM14:BA14)/D14</f>
        <v>1.0630117959667711</v>
      </c>
      <c r="I14" s="111">
        <f>-AM14/AL14</f>
        <v>7.0867453064451413E-2</v>
      </c>
      <c r="J14" s="166">
        <f>IRR(AL14:BA14)</f>
        <v>7.7373544053045418E-3</v>
      </c>
      <c r="K14" s="143">
        <f t="shared" si="10"/>
        <v>-1237285.4049460741</v>
      </c>
      <c r="L14" s="109"/>
      <c r="M14" s="78">
        <f>+C14/T14</f>
        <v>14.110849998948542</v>
      </c>
      <c r="N14" s="105">
        <f>SUM(T14:AH14)/C14</f>
        <v>1.0630117959667711</v>
      </c>
      <c r="O14" s="77">
        <f t="shared" si="11"/>
        <v>7.0867453064451413E-2</v>
      </c>
      <c r="P14" s="168">
        <f>IRR(S14:AH14)</f>
        <v>7.7373544053045418E-3</v>
      </c>
      <c r="Q14" s="144">
        <f t="shared" si="12"/>
        <v>-1237285.4049460741</v>
      </c>
      <c r="S14" s="149">
        <f t="shared" si="13"/>
        <v>-2684053</v>
      </c>
      <c r="T14" s="150">
        <f t="shared" si="4"/>
        <v>190212</v>
      </c>
      <c r="U14" s="150">
        <f t="shared" si="4"/>
        <v>190212</v>
      </c>
      <c r="V14" s="150">
        <f t="shared" si="4"/>
        <v>190212</v>
      </c>
      <c r="W14" s="150">
        <f t="shared" si="4"/>
        <v>190212</v>
      </c>
      <c r="X14" s="150">
        <f t="shared" si="4"/>
        <v>190212</v>
      </c>
      <c r="Y14" s="150">
        <f t="shared" si="4"/>
        <v>190212</v>
      </c>
      <c r="Z14" s="150">
        <f t="shared" si="4"/>
        <v>190212</v>
      </c>
      <c r="AA14" s="150">
        <f t="shared" si="4"/>
        <v>190212</v>
      </c>
      <c r="AB14" s="150">
        <f t="shared" si="4"/>
        <v>190212</v>
      </c>
      <c r="AC14" s="150">
        <f t="shared" si="4"/>
        <v>190212</v>
      </c>
      <c r="AD14" s="150">
        <f t="shared" si="4"/>
        <v>190212</v>
      </c>
      <c r="AE14" s="150">
        <f t="shared" si="4"/>
        <v>190212</v>
      </c>
      <c r="AF14" s="150">
        <f t="shared" si="4"/>
        <v>190212</v>
      </c>
      <c r="AG14" s="150">
        <f t="shared" si="4"/>
        <v>190212</v>
      </c>
      <c r="AH14" s="150">
        <f t="shared" si="4"/>
        <v>190212</v>
      </c>
      <c r="AI14" s="151">
        <f t="shared" si="5"/>
        <v>-1237285.4049460741</v>
      </c>
      <c r="AJ14" s="81">
        <f t="shared" si="6"/>
        <v>0.1</v>
      </c>
      <c r="AK14" s="83"/>
      <c r="AL14" s="154">
        <f t="shared" si="14"/>
        <v>-2684053</v>
      </c>
      <c r="AM14" s="155">
        <f t="shared" si="7"/>
        <v>190212</v>
      </c>
      <c r="AN14" s="155">
        <f t="shared" si="7"/>
        <v>190212</v>
      </c>
      <c r="AO14" s="155">
        <f t="shared" si="7"/>
        <v>190212</v>
      </c>
      <c r="AP14" s="155">
        <f t="shared" si="7"/>
        <v>190212</v>
      </c>
      <c r="AQ14" s="155">
        <f t="shared" si="7"/>
        <v>190212</v>
      </c>
      <c r="AR14" s="155">
        <f t="shared" si="7"/>
        <v>190212</v>
      </c>
      <c r="AS14" s="155">
        <f t="shared" si="7"/>
        <v>190212</v>
      </c>
      <c r="AT14" s="155">
        <f t="shared" si="7"/>
        <v>190212</v>
      </c>
      <c r="AU14" s="155">
        <f t="shared" si="7"/>
        <v>190212</v>
      </c>
      <c r="AV14" s="155">
        <f t="shared" si="7"/>
        <v>190212</v>
      </c>
      <c r="AW14" s="155">
        <f t="shared" si="7"/>
        <v>190212</v>
      </c>
      <c r="AX14" s="155">
        <f t="shared" si="7"/>
        <v>190212</v>
      </c>
      <c r="AY14" s="155">
        <f t="shared" si="7"/>
        <v>190212</v>
      </c>
      <c r="AZ14" s="155">
        <f t="shared" si="7"/>
        <v>190212</v>
      </c>
      <c r="BA14" s="155">
        <f t="shared" si="7"/>
        <v>190212</v>
      </c>
      <c r="BB14" s="156">
        <f t="shared" si="8"/>
        <v>-1237285.4049460741</v>
      </c>
      <c r="BC14" s="81">
        <f t="shared" si="9"/>
        <v>0.1</v>
      </c>
      <c r="BD14" s="72"/>
      <c r="DI14"/>
    </row>
    <row r="15" spans="1:113" x14ac:dyDescent="0.2">
      <c r="A15">
        <v>4</v>
      </c>
      <c r="B15" s="38" t="s">
        <v>42</v>
      </c>
      <c r="C15" s="31">
        <v>570000</v>
      </c>
      <c r="D15" s="67">
        <v>570000</v>
      </c>
      <c r="E15" s="33">
        <v>4221</v>
      </c>
      <c r="G15" s="78">
        <f>+D15/AM15</f>
        <v>135.03909026297086</v>
      </c>
      <c r="H15" s="76">
        <f>SUM(AM15:BA15)/D15</f>
        <v>0.11107894736842105</v>
      </c>
      <c r="I15" s="111">
        <f>-AM15/AL15</f>
        <v>7.4052631578947368E-3</v>
      </c>
      <c r="J15" s="166">
        <f>IRR(AL15:BA15,-0.1)</f>
        <v>-0.1989449275910592</v>
      </c>
      <c r="K15" s="143">
        <f t="shared" si="10"/>
        <v>-537894.73840387247</v>
      </c>
      <c r="L15" s="109"/>
      <c r="M15" s="78">
        <f>+C15/T15</f>
        <v>135.03909026297086</v>
      </c>
      <c r="N15" s="105">
        <f>SUM(T15:AH15)/C15</f>
        <v>0.11107894736842105</v>
      </c>
      <c r="O15" s="77">
        <f t="shared" si="11"/>
        <v>7.4052631578947368E-3</v>
      </c>
      <c r="P15" s="166">
        <f>IRR(S15:AH15,-0.1)</f>
        <v>-0.1989449275910592</v>
      </c>
      <c r="Q15" s="144">
        <f t="shared" si="12"/>
        <v>-537894.73840387247</v>
      </c>
      <c r="S15" s="149">
        <f t="shared" si="13"/>
        <v>-570000</v>
      </c>
      <c r="T15" s="150">
        <f t="shared" si="4"/>
        <v>4221</v>
      </c>
      <c r="U15" s="150">
        <f t="shared" si="4"/>
        <v>4221</v>
      </c>
      <c r="V15" s="150">
        <f t="shared" si="4"/>
        <v>4221</v>
      </c>
      <c r="W15" s="150">
        <f t="shared" si="4"/>
        <v>4221</v>
      </c>
      <c r="X15" s="150">
        <f t="shared" si="4"/>
        <v>4221</v>
      </c>
      <c r="Y15" s="150">
        <f t="shared" si="4"/>
        <v>4221</v>
      </c>
      <c r="Z15" s="150">
        <f t="shared" si="4"/>
        <v>4221</v>
      </c>
      <c r="AA15" s="150">
        <f t="shared" si="4"/>
        <v>4221</v>
      </c>
      <c r="AB15" s="150">
        <f t="shared" si="4"/>
        <v>4221</v>
      </c>
      <c r="AC15" s="150">
        <f t="shared" si="4"/>
        <v>4221</v>
      </c>
      <c r="AD15" s="150">
        <f t="shared" si="4"/>
        <v>4221</v>
      </c>
      <c r="AE15" s="150">
        <f t="shared" si="4"/>
        <v>4221</v>
      </c>
      <c r="AF15" s="150">
        <f t="shared" si="4"/>
        <v>4221</v>
      </c>
      <c r="AG15" s="150">
        <f t="shared" si="4"/>
        <v>4221</v>
      </c>
      <c r="AH15" s="150">
        <f t="shared" si="4"/>
        <v>4221</v>
      </c>
      <c r="AI15" s="151">
        <f t="shared" si="5"/>
        <v>-537894.73840387247</v>
      </c>
      <c r="AJ15" s="81">
        <f t="shared" si="6"/>
        <v>0.1</v>
      </c>
      <c r="AK15" s="83"/>
      <c r="AL15" s="154">
        <f t="shared" si="14"/>
        <v>-570000</v>
      </c>
      <c r="AM15" s="155">
        <f t="shared" si="7"/>
        <v>4221</v>
      </c>
      <c r="AN15" s="155">
        <f t="shared" si="7"/>
        <v>4221</v>
      </c>
      <c r="AO15" s="155">
        <f t="shared" si="7"/>
        <v>4221</v>
      </c>
      <c r="AP15" s="155">
        <f t="shared" si="7"/>
        <v>4221</v>
      </c>
      <c r="AQ15" s="155">
        <f t="shared" si="7"/>
        <v>4221</v>
      </c>
      <c r="AR15" s="155">
        <f t="shared" si="7"/>
        <v>4221</v>
      </c>
      <c r="AS15" s="155">
        <f t="shared" si="7"/>
        <v>4221</v>
      </c>
      <c r="AT15" s="155">
        <f t="shared" si="7"/>
        <v>4221</v>
      </c>
      <c r="AU15" s="155">
        <f t="shared" si="7"/>
        <v>4221</v>
      </c>
      <c r="AV15" s="155">
        <f t="shared" si="7"/>
        <v>4221</v>
      </c>
      <c r="AW15" s="155">
        <f t="shared" si="7"/>
        <v>4221</v>
      </c>
      <c r="AX15" s="155">
        <f t="shared" si="7"/>
        <v>4221</v>
      </c>
      <c r="AY15" s="155">
        <f t="shared" si="7"/>
        <v>4221</v>
      </c>
      <c r="AZ15" s="155">
        <f t="shared" si="7"/>
        <v>4221</v>
      </c>
      <c r="BA15" s="155">
        <f t="shared" si="7"/>
        <v>4221</v>
      </c>
      <c r="BB15" s="156">
        <f t="shared" si="8"/>
        <v>-537894.73840387247</v>
      </c>
      <c r="BC15" s="81">
        <f t="shared" si="9"/>
        <v>0.1</v>
      </c>
      <c r="BD15" s="72"/>
      <c r="DI15"/>
    </row>
    <row r="16" spans="1:113" x14ac:dyDescent="0.2">
      <c r="A16">
        <v>5</v>
      </c>
      <c r="B16" s="137" t="s">
        <v>43</v>
      </c>
      <c r="C16" s="135">
        <v>5603686</v>
      </c>
      <c r="D16" s="138">
        <v>7603686</v>
      </c>
      <c r="E16" s="130">
        <v>740905</v>
      </c>
      <c r="F16" s="120"/>
      <c r="G16" s="121">
        <f>+D16/AM16</f>
        <v>8.8589557325193251</v>
      </c>
      <c r="H16" s="121">
        <f>SUM(AM16:BA16)/D16</f>
        <v>1.6932018234314252</v>
      </c>
      <c r="I16" s="122">
        <f>-AM16/AL16</f>
        <v>0.11288012156209501</v>
      </c>
      <c r="J16" s="164">
        <f>IRR(AL16:BA16)</f>
        <v>7.4420849888840124E-2</v>
      </c>
      <c r="K16" s="143">
        <f t="shared" si="10"/>
        <v>-1075349.9293380035</v>
      </c>
      <c r="L16" s="123"/>
      <c r="M16" s="121">
        <f>+C16/T16</f>
        <v>6.5287817267754473</v>
      </c>
      <c r="N16" s="124">
        <f>SUM(T16:AH16)/C16</f>
        <v>2.2975189901789643</v>
      </c>
      <c r="O16" s="125">
        <f t="shared" si="11"/>
        <v>0.15316793267859763</v>
      </c>
      <c r="P16" s="164">
        <f>IRR(S16:AH16)</f>
        <v>0.12802751806221968</v>
      </c>
      <c r="Q16" s="144">
        <f>+AI16</f>
        <v>924650.07066199649</v>
      </c>
      <c r="R16" s="120"/>
      <c r="S16" s="147">
        <f t="shared" si="13"/>
        <v>-5603686</v>
      </c>
      <c r="T16" s="148">
        <f>$E16*(1+$C$2+$C$4)^T$10+T17</f>
        <v>858305</v>
      </c>
      <c r="U16" s="148">
        <f t="shared" ref="U16:AH16" si="15">$E16*(1+$C$2+$C$4)^U$10+U17</f>
        <v>858305</v>
      </c>
      <c r="V16" s="148">
        <f t="shared" si="15"/>
        <v>858305</v>
      </c>
      <c r="W16" s="148">
        <f t="shared" si="15"/>
        <v>858305</v>
      </c>
      <c r="X16" s="148">
        <f t="shared" si="15"/>
        <v>858305</v>
      </c>
      <c r="Y16" s="148">
        <f t="shared" si="15"/>
        <v>858305</v>
      </c>
      <c r="Z16" s="148">
        <f t="shared" si="15"/>
        <v>858305</v>
      </c>
      <c r="AA16" s="148">
        <f t="shared" si="15"/>
        <v>858305</v>
      </c>
      <c r="AB16" s="148">
        <f t="shared" si="15"/>
        <v>858305</v>
      </c>
      <c r="AC16" s="148">
        <f t="shared" si="15"/>
        <v>858305</v>
      </c>
      <c r="AD16" s="148">
        <f t="shared" si="15"/>
        <v>858305</v>
      </c>
      <c r="AE16" s="148">
        <f t="shared" si="15"/>
        <v>858305</v>
      </c>
      <c r="AF16" s="148">
        <f t="shared" si="15"/>
        <v>858305</v>
      </c>
      <c r="AG16" s="148">
        <f t="shared" si="15"/>
        <v>858305</v>
      </c>
      <c r="AH16" s="148">
        <f t="shared" si="15"/>
        <v>858305</v>
      </c>
      <c r="AI16" s="146">
        <f t="shared" si="5"/>
        <v>924650.07066199649</v>
      </c>
      <c r="AJ16" s="126">
        <f t="shared" si="6"/>
        <v>0.1</v>
      </c>
      <c r="AK16" s="136"/>
      <c r="AL16" s="152">
        <f t="shared" si="14"/>
        <v>-7603686</v>
      </c>
      <c r="AM16" s="153">
        <f t="shared" ref="AM16:BA16" si="16">$E16*(1+$C$2+$C$4)^AM$10+AM17</f>
        <v>858305</v>
      </c>
      <c r="AN16" s="153">
        <f t="shared" si="16"/>
        <v>858305</v>
      </c>
      <c r="AO16" s="153">
        <f t="shared" si="16"/>
        <v>858305</v>
      </c>
      <c r="AP16" s="153">
        <f t="shared" si="16"/>
        <v>858305</v>
      </c>
      <c r="AQ16" s="153">
        <f t="shared" si="16"/>
        <v>858305</v>
      </c>
      <c r="AR16" s="153">
        <f t="shared" si="16"/>
        <v>858305</v>
      </c>
      <c r="AS16" s="153">
        <f t="shared" si="16"/>
        <v>858305</v>
      </c>
      <c r="AT16" s="153">
        <f t="shared" si="16"/>
        <v>858305</v>
      </c>
      <c r="AU16" s="153">
        <f t="shared" si="16"/>
        <v>858305</v>
      </c>
      <c r="AV16" s="153">
        <f t="shared" si="16"/>
        <v>858305</v>
      </c>
      <c r="AW16" s="153">
        <f t="shared" si="16"/>
        <v>858305</v>
      </c>
      <c r="AX16" s="153">
        <f t="shared" si="16"/>
        <v>858305</v>
      </c>
      <c r="AY16" s="153">
        <f t="shared" si="16"/>
        <v>858305</v>
      </c>
      <c r="AZ16" s="153">
        <f t="shared" si="16"/>
        <v>858305</v>
      </c>
      <c r="BA16" s="153">
        <f t="shared" si="16"/>
        <v>858305</v>
      </c>
      <c r="BB16" s="152">
        <f t="shared" si="8"/>
        <v>-1075349.9293380035</v>
      </c>
      <c r="BC16" s="126">
        <f t="shared" si="9"/>
        <v>0.1</v>
      </c>
      <c r="BD16" s="72"/>
      <c r="DI16"/>
    </row>
    <row r="17" spans="1:113" x14ac:dyDescent="0.2">
      <c r="A17">
        <v>6</v>
      </c>
      <c r="B17" s="128" t="s">
        <v>44</v>
      </c>
      <c r="C17" s="129" t="s">
        <v>23</v>
      </c>
      <c r="D17" s="129" t="s">
        <v>23</v>
      </c>
      <c r="E17" s="130">
        <v>117400</v>
      </c>
      <c r="F17" s="120"/>
      <c r="G17" s="129" t="s">
        <v>20</v>
      </c>
      <c r="H17" s="129" t="s">
        <v>23</v>
      </c>
      <c r="I17" s="131" t="s">
        <v>20</v>
      </c>
      <c r="J17" s="165" t="s">
        <v>20</v>
      </c>
      <c r="K17" s="129" t="s">
        <v>20</v>
      </c>
      <c r="L17" s="132"/>
      <c r="M17" s="129" t="s">
        <v>3</v>
      </c>
      <c r="N17" s="133" t="s">
        <v>23</v>
      </c>
      <c r="O17" s="129" t="s">
        <v>3</v>
      </c>
      <c r="P17" s="165" t="s">
        <v>7</v>
      </c>
      <c r="Q17" s="134" t="s">
        <v>7</v>
      </c>
      <c r="R17" s="120"/>
      <c r="S17" s="147" t="s">
        <v>29</v>
      </c>
      <c r="T17" s="148">
        <f t="shared" si="4"/>
        <v>117400</v>
      </c>
      <c r="U17" s="148">
        <f t="shared" si="4"/>
        <v>117400</v>
      </c>
      <c r="V17" s="148">
        <f t="shared" si="4"/>
        <v>117400</v>
      </c>
      <c r="W17" s="148">
        <f t="shared" si="4"/>
        <v>117400</v>
      </c>
      <c r="X17" s="148">
        <f t="shared" si="4"/>
        <v>117400</v>
      </c>
      <c r="Y17" s="148">
        <f t="shared" si="4"/>
        <v>117400</v>
      </c>
      <c r="Z17" s="148">
        <f t="shared" si="4"/>
        <v>117400</v>
      </c>
      <c r="AA17" s="148">
        <f t="shared" si="4"/>
        <v>117400</v>
      </c>
      <c r="AB17" s="148">
        <f t="shared" si="4"/>
        <v>117400</v>
      </c>
      <c r="AC17" s="148">
        <f t="shared" si="4"/>
        <v>117400</v>
      </c>
      <c r="AD17" s="148">
        <f t="shared" si="4"/>
        <v>117400</v>
      </c>
      <c r="AE17" s="148">
        <f t="shared" si="4"/>
        <v>117400</v>
      </c>
      <c r="AF17" s="148">
        <f t="shared" si="4"/>
        <v>117400</v>
      </c>
      <c r="AG17" s="148">
        <f t="shared" si="4"/>
        <v>117400</v>
      </c>
      <c r="AH17" s="148">
        <f t="shared" si="4"/>
        <v>117400</v>
      </c>
      <c r="AI17" s="146" t="e">
        <f t="shared" si="5"/>
        <v>#VALUE!</v>
      </c>
      <c r="AJ17" s="126">
        <f t="shared" si="6"/>
        <v>0.1</v>
      </c>
      <c r="AK17" s="136"/>
      <c r="AL17" s="153"/>
      <c r="AM17" s="153">
        <f t="shared" ref="AM17:BA26" si="17">$E17*(1+$C$2+$C$4)^AM$10</f>
        <v>117400</v>
      </c>
      <c r="AN17" s="153">
        <f t="shared" si="17"/>
        <v>117400</v>
      </c>
      <c r="AO17" s="153">
        <f t="shared" si="17"/>
        <v>117400</v>
      </c>
      <c r="AP17" s="153">
        <f t="shared" si="17"/>
        <v>117400</v>
      </c>
      <c r="AQ17" s="153">
        <f t="shared" si="17"/>
        <v>117400</v>
      </c>
      <c r="AR17" s="153">
        <f t="shared" si="17"/>
        <v>117400</v>
      </c>
      <c r="AS17" s="153">
        <f t="shared" si="17"/>
        <v>117400</v>
      </c>
      <c r="AT17" s="153">
        <f t="shared" si="17"/>
        <v>117400</v>
      </c>
      <c r="AU17" s="153">
        <f t="shared" si="17"/>
        <v>117400</v>
      </c>
      <c r="AV17" s="153">
        <f t="shared" si="17"/>
        <v>117400</v>
      </c>
      <c r="AW17" s="153">
        <f t="shared" si="17"/>
        <v>117400</v>
      </c>
      <c r="AX17" s="153">
        <f t="shared" si="17"/>
        <v>117400</v>
      </c>
      <c r="AY17" s="153">
        <f t="shared" si="17"/>
        <v>117400</v>
      </c>
      <c r="AZ17" s="153">
        <f t="shared" si="17"/>
        <v>117400</v>
      </c>
      <c r="BA17" s="153">
        <f t="shared" si="17"/>
        <v>117400</v>
      </c>
      <c r="BB17" s="152">
        <f t="shared" si="8"/>
        <v>892953.7340406013</v>
      </c>
      <c r="BC17" s="126">
        <f t="shared" si="9"/>
        <v>0.1</v>
      </c>
      <c r="BD17" s="72"/>
      <c r="DI17"/>
    </row>
    <row r="18" spans="1:113" x14ac:dyDescent="0.2">
      <c r="A18">
        <v>7</v>
      </c>
      <c r="B18" s="38" t="s">
        <v>46</v>
      </c>
      <c r="C18" s="31">
        <v>2000000</v>
      </c>
      <c r="D18" s="67">
        <v>2000000</v>
      </c>
      <c r="E18" s="33">
        <v>30682</v>
      </c>
      <c r="G18" s="78">
        <f>+D18/AM18</f>
        <v>65.184798904895374</v>
      </c>
      <c r="H18" s="76">
        <f>SUM(AM18:BA18)/D18</f>
        <v>0.23011499999999999</v>
      </c>
      <c r="I18" s="111">
        <f>-AM18/AL18</f>
        <v>1.5341E-2</v>
      </c>
      <c r="J18" s="166">
        <f>IRR(AL18:BA18,-0.1)</f>
        <v>-0.14473154347601924</v>
      </c>
      <c r="K18" s="143">
        <f t="shared" ref="K18:K20" si="18">+BB18</f>
        <v>-1766630.2685874468</v>
      </c>
      <c r="L18" s="109"/>
      <c r="M18" s="78">
        <f>+C18/T18</f>
        <v>65.184798904895374</v>
      </c>
      <c r="N18" s="105">
        <f>SUM(T18:AH18)/C18</f>
        <v>0.23011499999999999</v>
      </c>
      <c r="O18" s="77">
        <f t="shared" ref="O18:O19" si="19">-T18/S18</f>
        <v>1.5341E-2</v>
      </c>
      <c r="P18" s="166">
        <f>IRR(S18:AH18,-0.1)</f>
        <v>-0.14473154347601924</v>
      </c>
      <c r="Q18" s="144">
        <f t="shared" ref="Q18:Q19" si="20">+AI18</f>
        <v>-1766630.2685874468</v>
      </c>
      <c r="S18" s="149">
        <f t="shared" si="13"/>
        <v>-2000000</v>
      </c>
      <c r="T18" s="150">
        <f t="shared" si="4"/>
        <v>30682</v>
      </c>
      <c r="U18" s="150">
        <f t="shared" si="4"/>
        <v>30682</v>
      </c>
      <c r="V18" s="150">
        <f t="shared" si="4"/>
        <v>30682</v>
      </c>
      <c r="W18" s="150">
        <f t="shared" si="4"/>
        <v>30682</v>
      </c>
      <c r="X18" s="150">
        <f t="shared" si="4"/>
        <v>30682</v>
      </c>
      <c r="Y18" s="150">
        <f t="shared" si="4"/>
        <v>30682</v>
      </c>
      <c r="Z18" s="150">
        <f t="shared" si="4"/>
        <v>30682</v>
      </c>
      <c r="AA18" s="150">
        <f t="shared" si="4"/>
        <v>30682</v>
      </c>
      <c r="AB18" s="150">
        <f t="shared" si="4"/>
        <v>30682</v>
      </c>
      <c r="AC18" s="150">
        <f t="shared" si="4"/>
        <v>30682</v>
      </c>
      <c r="AD18" s="150">
        <f t="shared" si="4"/>
        <v>30682</v>
      </c>
      <c r="AE18" s="150">
        <f t="shared" si="4"/>
        <v>30682</v>
      </c>
      <c r="AF18" s="150">
        <f t="shared" si="4"/>
        <v>30682</v>
      </c>
      <c r="AG18" s="150">
        <f t="shared" si="4"/>
        <v>30682</v>
      </c>
      <c r="AH18" s="150">
        <f t="shared" si="4"/>
        <v>30682</v>
      </c>
      <c r="AI18" s="151">
        <f t="shared" si="5"/>
        <v>-1766630.2685874468</v>
      </c>
      <c r="AJ18" s="81">
        <f t="shared" si="6"/>
        <v>0.1</v>
      </c>
      <c r="AK18" s="83"/>
      <c r="AL18" s="154">
        <f t="shared" ref="AL18:AL29" si="21">-D18</f>
        <v>-2000000</v>
      </c>
      <c r="AM18" s="155">
        <f t="shared" si="17"/>
        <v>30682</v>
      </c>
      <c r="AN18" s="155">
        <f t="shared" si="17"/>
        <v>30682</v>
      </c>
      <c r="AO18" s="155">
        <f t="shared" si="17"/>
        <v>30682</v>
      </c>
      <c r="AP18" s="155">
        <f t="shared" si="17"/>
        <v>30682</v>
      </c>
      <c r="AQ18" s="155">
        <f t="shared" si="17"/>
        <v>30682</v>
      </c>
      <c r="AR18" s="155">
        <f t="shared" si="17"/>
        <v>30682</v>
      </c>
      <c r="AS18" s="155">
        <f t="shared" si="17"/>
        <v>30682</v>
      </c>
      <c r="AT18" s="155">
        <f t="shared" si="17"/>
        <v>30682</v>
      </c>
      <c r="AU18" s="155">
        <f t="shared" si="17"/>
        <v>30682</v>
      </c>
      <c r="AV18" s="155">
        <f t="shared" si="17"/>
        <v>30682</v>
      </c>
      <c r="AW18" s="155">
        <f t="shared" si="17"/>
        <v>30682</v>
      </c>
      <c r="AX18" s="155">
        <f t="shared" si="17"/>
        <v>30682</v>
      </c>
      <c r="AY18" s="155">
        <f t="shared" si="17"/>
        <v>30682</v>
      </c>
      <c r="AZ18" s="155">
        <f t="shared" si="17"/>
        <v>30682</v>
      </c>
      <c r="BA18" s="155">
        <f t="shared" si="17"/>
        <v>30682</v>
      </c>
      <c r="BB18" s="156">
        <f t="shared" si="8"/>
        <v>-1766630.2685874468</v>
      </c>
      <c r="BC18" s="81">
        <f t="shared" si="9"/>
        <v>0.1</v>
      </c>
      <c r="BD18" s="72"/>
      <c r="DI18"/>
    </row>
    <row r="19" spans="1:113" x14ac:dyDescent="0.2">
      <c r="A19">
        <v>8</v>
      </c>
      <c r="B19" s="38" t="s">
        <v>47</v>
      </c>
      <c r="C19" s="31">
        <v>7000000</v>
      </c>
      <c r="D19" s="67">
        <v>7000000</v>
      </c>
      <c r="E19" s="33">
        <v>33575</v>
      </c>
      <c r="G19" s="78">
        <f>+D19/AM19</f>
        <v>208.48845867460909</v>
      </c>
      <c r="H19" s="76">
        <f>SUM(AM19:BA19)/D19</f>
        <v>7.1946428571428578E-2</v>
      </c>
      <c r="I19" s="111">
        <f>-AM19/AL19</f>
        <v>4.7964285714285713E-3</v>
      </c>
      <c r="J19" s="166">
        <f>IRR(AL19:BA19,-0.1)</f>
        <v>-0.22804835297537696</v>
      </c>
      <c r="K19" s="143">
        <f t="shared" si="18"/>
        <v>-6744625.8805756969</v>
      </c>
      <c r="L19" s="109"/>
      <c r="M19" s="78">
        <f>+C19/T19</f>
        <v>208.48845867460909</v>
      </c>
      <c r="N19" s="105">
        <f>SUM(T19:AH19)/C19</f>
        <v>7.1946428571428578E-2</v>
      </c>
      <c r="O19" s="77">
        <f t="shared" si="19"/>
        <v>4.7964285714285713E-3</v>
      </c>
      <c r="P19" s="166">
        <f>IRR(S19:AH19,-0.1)</f>
        <v>-0.22804835297537696</v>
      </c>
      <c r="Q19" s="144">
        <f t="shared" si="20"/>
        <v>-6744625.8805756969</v>
      </c>
      <c r="S19" s="149">
        <f t="shared" si="13"/>
        <v>-7000000</v>
      </c>
      <c r="T19" s="150">
        <f t="shared" si="4"/>
        <v>33575</v>
      </c>
      <c r="U19" s="150">
        <f t="shared" si="4"/>
        <v>33575</v>
      </c>
      <c r="V19" s="150">
        <f t="shared" si="4"/>
        <v>33575</v>
      </c>
      <c r="W19" s="150">
        <f t="shared" si="4"/>
        <v>33575</v>
      </c>
      <c r="X19" s="150">
        <f t="shared" si="4"/>
        <v>33575</v>
      </c>
      <c r="Y19" s="150">
        <f t="shared" si="4"/>
        <v>33575</v>
      </c>
      <c r="Z19" s="150">
        <f t="shared" si="4"/>
        <v>33575</v>
      </c>
      <c r="AA19" s="150">
        <f t="shared" si="4"/>
        <v>33575</v>
      </c>
      <c r="AB19" s="150">
        <f t="shared" si="4"/>
        <v>33575</v>
      </c>
      <c r="AC19" s="150">
        <f t="shared" si="4"/>
        <v>33575</v>
      </c>
      <c r="AD19" s="150">
        <f t="shared" si="4"/>
        <v>33575</v>
      </c>
      <c r="AE19" s="150">
        <f t="shared" si="4"/>
        <v>33575</v>
      </c>
      <c r="AF19" s="150">
        <f t="shared" si="4"/>
        <v>33575</v>
      </c>
      <c r="AG19" s="150">
        <f t="shared" si="4"/>
        <v>33575</v>
      </c>
      <c r="AH19" s="150">
        <f t="shared" si="4"/>
        <v>33575</v>
      </c>
      <c r="AI19" s="151">
        <f t="shared" si="5"/>
        <v>-6744625.8805756969</v>
      </c>
      <c r="AJ19" s="81">
        <f t="shared" si="6"/>
        <v>0.1</v>
      </c>
      <c r="AK19" s="83"/>
      <c r="AL19" s="154">
        <f t="shared" si="21"/>
        <v>-7000000</v>
      </c>
      <c r="AM19" s="155">
        <f t="shared" si="17"/>
        <v>33575</v>
      </c>
      <c r="AN19" s="155">
        <f t="shared" si="17"/>
        <v>33575</v>
      </c>
      <c r="AO19" s="155">
        <f t="shared" si="17"/>
        <v>33575</v>
      </c>
      <c r="AP19" s="155">
        <f t="shared" si="17"/>
        <v>33575</v>
      </c>
      <c r="AQ19" s="155">
        <f t="shared" si="17"/>
        <v>33575</v>
      </c>
      <c r="AR19" s="155">
        <f t="shared" si="17"/>
        <v>33575</v>
      </c>
      <c r="AS19" s="155">
        <f t="shared" si="17"/>
        <v>33575</v>
      </c>
      <c r="AT19" s="155">
        <f t="shared" si="17"/>
        <v>33575</v>
      </c>
      <c r="AU19" s="155">
        <f t="shared" si="17"/>
        <v>33575</v>
      </c>
      <c r="AV19" s="155">
        <f t="shared" si="17"/>
        <v>33575</v>
      </c>
      <c r="AW19" s="155">
        <f t="shared" si="17"/>
        <v>33575</v>
      </c>
      <c r="AX19" s="155">
        <f t="shared" si="17"/>
        <v>33575</v>
      </c>
      <c r="AY19" s="155">
        <f t="shared" si="17"/>
        <v>33575</v>
      </c>
      <c r="AZ19" s="155">
        <f t="shared" si="17"/>
        <v>33575</v>
      </c>
      <c r="BA19" s="155">
        <f t="shared" si="17"/>
        <v>33575</v>
      </c>
      <c r="BB19" s="156">
        <f t="shared" si="8"/>
        <v>-6744625.8805756969</v>
      </c>
      <c r="BC19" s="81">
        <f t="shared" si="9"/>
        <v>0.1</v>
      </c>
      <c r="BD19" s="72"/>
      <c r="DI19"/>
    </row>
    <row r="20" spans="1:113" x14ac:dyDescent="0.2">
      <c r="A20">
        <v>9</v>
      </c>
      <c r="B20" s="128" t="s">
        <v>48</v>
      </c>
      <c r="C20" s="135">
        <v>-7288860</v>
      </c>
      <c r="D20" s="138">
        <v>5111140</v>
      </c>
      <c r="E20" s="130">
        <v>675714</v>
      </c>
      <c r="F20" s="120"/>
      <c r="G20" s="121">
        <f>+D20/AM20</f>
        <v>7.5640581666207893</v>
      </c>
      <c r="H20" s="121">
        <f>SUM(AM20:BA20)/D20</f>
        <v>1.9830624870381168</v>
      </c>
      <c r="I20" s="122">
        <f>-AM20/AL20</f>
        <v>0.13220416580254113</v>
      </c>
      <c r="J20" s="164">
        <f>IRR(AL20:BA20)</f>
        <v>0.10097213431196739</v>
      </c>
      <c r="K20" s="143">
        <f t="shared" si="18"/>
        <v>28394.4075256465</v>
      </c>
      <c r="L20" s="123"/>
      <c r="M20" s="121" t="s">
        <v>33</v>
      </c>
      <c r="N20" s="124" t="s">
        <v>33</v>
      </c>
      <c r="O20" s="125" t="s">
        <v>32</v>
      </c>
      <c r="P20" s="165" t="s">
        <v>31</v>
      </c>
      <c r="Q20" s="134" t="s">
        <v>31</v>
      </c>
      <c r="R20" s="120"/>
      <c r="S20" s="147">
        <f t="shared" si="13"/>
        <v>7288860</v>
      </c>
      <c r="T20" s="148">
        <f t="shared" si="4"/>
        <v>675714</v>
      </c>
      <c r="U20" s="148">
        <f t="shared" si="4"/>
        <v>675714</v>
      </c>
      <c r="V20" s="148">
        <f t="shared" si="4"/>
        <v>675714</v>
      </c>
      <c r="W20" s="148">
        <f t="shared" si="4"/>
        <v>675714</v>
      </c>
      <c r="X20" s="148">
        <f t="shared" si="4"/>
        <v>675714</v>
      </c>
      <c r="Y20" s="148">
        <f t="shared" si="4"/>
        <v>675714</v>
      </c>
      <c r="Z20" s="148">
        <f t="shared" si="4"/>
        <v>675714</v>
      </c>
      <c r="AA20" s="148">
        <f t="shared" si="4"/>
        <v>675714</v>
      </c>
      <c r="AB20" s="148">
        <f t="shared" si="4"/>
        <v>675714</v>
      </c>
      <c r="AC20" s="148">
        <f t="shared" si="4"/>
        <v>675714</v>
      </c>
      <c r="AD20" s="148">
        <f t="shared" si="4"/>
        <v>675714</v>
      </c>
      <c r="AE20" s="148">
        <f t="shared" si="4"/>
        <v>675714</v>
      </c>
      <c r="AF20" s="148">
        <f t="shared" si="4"/>
        <v>675714</v>
      </c>
      <c r="AG20" s="148">
        <f t="shared" si="4"/>
        <v>675714</v>
      </c>
      <c r="AH20" s="148">
        <f t="shared" si="4"/>
        <v>675714</v>
      </c>
      <c r="AI20" s="146">
        <f t="shared" si="5"/>
        <v>12428394.407525647</v>
      </c>
      <c r="AJ20" s="126">
        <f t="shared" si="6"/>
        <v>0.1</v>
      </c>
      <c r="AK20" s="136"/>
      <c r="AL20" s="152">
        <f t="shared" si="21"/>
        <v>-5111140</v>
      </c>
      <c r="AM20" s="153">
        <f t="shared" si="17"/>
        <v>675714</v>
      </c>
      <c r="AN20" s="153">
        <f t="shared" si="17"/>
        <v>675714</v>
      </c>
      <c r="AO20" s="153">
        <f t="shared" si="17"/>
        <v>675714</v>
      </c>
      <c r="AP20" s="153">
        <f t="shared" si="17"/>
        <v>675714</v>
      </c>
      <c r="AQ20" s="153">
        <f t="shared" si="17"/>
        <v>675714</v>
      </c>
      <c r="AR20" s="153">
        <f t="shared" si="17"/>
        <v>675714</v>
      </c>
      <c r="AS20" s="153">
        <f t="shared" si="17"/>
        <v>675714</v>
      </c>
      <c r="AT20" s="153">
        <f t="shared" si="17"/>
        <v>675714</v>
      </c>
      <c r="AU20" s="153">
        <f t="shared" si="17"/>
        <v>675714</v>
      </c>
      <c r="AV20" s="153">
        <f t="shared" si="17"/>
        <v>675714</v>
      </c>
      <c r="AW20" s="153">
        <f t="shared" si="17"/>
        <v>675714</v>
      </c>
      <c r="AX20" s="153">
        <f t="shared" si="17"/>
        <v>675714</v>
      </c>
      <c r="AY20" s="153">
        <f t="shared" si="17"/>
        <v>675714</v>
      </c>
      <c r="AZ20" s="153">
        <f t="shared" si="17"/>
        <v>675714</v>
      </c>
      <c r="BA20" s="153">
        <f t="shared" si="17"/>
        <v>675714</v>
      </c>
      <c r="BB20" s="152">
        <f t="shared" si="8"/>
        <v>28394.4075256465</v>
      </c>
      <c r="BC20" s="126">
        <f t="shared" si="9"/>
        <v>0.1</v>
      </c>
      <c r="BD20" s="72"/>
      <c r="DI20"/>
    </row>
    <row r="21" spans="1:113" x14ac:dyDescent="0.2">
      <c r="A21">
        <v>9</v>
      </c>
      <c r="B21" s="128" t="s">
        <v>49</v>
      </c>
      <c r="C21" s="135">
        <v>-10000000</v>
      </c>
      <c r="D21" s="138">
        <v>0</v>
      </c>
      <c r="E21" s="129" t="s">
        <v>21</v>
      </c>
      <c r="F21" s="120"/>
      <c r="G21" s="129" t="s">
        <v>5</v>
      </c>
      <c r="H21" s="129" t="s">
        <v>23</v>
      </c>
      <c r="I21" s="131" t="s">
        <v>21</v>
      </c>
      <c r="J21" s="165" t="s">
        <v>21</v>
      </c>
      <c r="K21" s="129" t="s">
        <v>21</v>
      </c>
      <c r="L21" s="132"/>
      <c r="M21" s="129" t="s">
        <v>3</v>
      </c>
      <c r="N21" s="133" t="s">
        <v>23</v>
      </c>
      <c r="O21" s="129" t="s">
        <v>3</v>
      </c>
      <c r="P21" s="165" t="s">
        <v>7</v>
      </c>
      <c r="Q21" s="134" t="s">
        <v>7</v>
      </c>
      <c r="R21" s="120"/>
      <c r="S21" s="147">
        <f t="shared" si="13"/>
        <v>10000000</v>
      </c>
      <c r="T21" s="148" t="e">
        <f t="shared" si="4"/>
        <v>#VALUE!</v>
      </c>
      <c r="U21" s="148" t="e">
        <f t="shared" si="4"/>
        <v>#VALUE!</v>
      </c>
      <c r="V21" s="148" t="e">
        <f t="shared" si="4"/>
        <v>#VALUE!</v>
      </c>
      <c r="W21" s="148" t="e">
        <f t="shared" si="4"/>
        <v>#VALUE!</v>
      </c>
      <c r="X21" s="148" t="e">
        <f t="shared" si="4"/>
        <v>#VALUE!</v>
      </c>
      <c r="Y21" s="148" t="e">
        <f t="shared" si="4"/>
        <v>#VALUE!</v>
      </c>
      <c r="Z21" s="148" t="e">
        <f t="shared" si="4"/>
        <v>#VALUE!</v>
      </c>
      <c r="AA21" s="148" t="e">
        <f t="shared" si="4"/>
        <v>#VALUE!</v>
      </c>
      <c r="AB21" s="148" t="e">
        <f t="shared" si="4"/>
        <v>#VALUE!</v>
      </c>
      <c r="AC21" s="148" t="e">
        <f t="shared" si="4"/>
        <v>#VALUE!</v>
      </c>
      <c r="AD21" s="148" t="e">
        <f t="shared" si="4"/>
        <v>#VALUE!</v>
      </c>
      <c r="AE21" s="148" t="e">
        <f t="shared" si="4"/>
        <v>#VALUE!</v>
      </c>
      <c r="AF21" s="148" t="e">
        <f t="shared" si="4"/>
        <v>#VALUE!</v>
      </c>
      <c r="AG21" s="148" t="e">
        <f t="shared" si="4"/>
        <v>#VALUE!</v>
      </c>
      <c r="AH21" s="148" t="e">
        <f t="shared" si="4"/>
        <v>#VALUE!</v>
      </c>
      <c r="AI21" s="146" t="e">
        <f t="shared" si="5"/>
        <v>#VALUE!</v>
      </c>
      <c r="AJ21" s="126">
        <f t="shared" si="6"/>
        <v>0.1</v>
      </c>
      <c r="AK21" s="136"/>
      <c r="AL21" s="152" t="s">
        <v>4</v>
      </c>
      <c r="AM21" s="153" t="e">
        <f t="shared" si="17"/>
        <v>#VALUE!</v>
      </c>
      <c r="AN21" s="153" t="e">
        <f t="shared" si="17"/>
        <v>#VALUE!</v>
      </c>
      <c r="AO21" s="153" t="e">
        <f t="shared" si="17"/>
        <v>#VALUE!</v>
      </c>
      <c r="AP21" s="153" t="e">
        <f t="shared" si="17"/>
        <v>#VALUE!</v>
      </c>
      <c r="AQ21" s="153" t="e">
        <f t="shared" si="17"/>
        <v>#VALUE!</v>
      </c>
      <c r="AR21" s="153" t="e">
        <f t="shared" si="17"/>
        <v>#VALUE!</v>
      </c>
      <c r="AS21" s="153" t="e">
        <f t="shared" si="17"/>
        <v>#VALUE!</v>
      </c>
      <c r="AT21" s="153" t="e">
        <f t="shared" si="17"/>
        <v>#VALUE!</v>
      </c>
      <c r="AU21" s="153" t="e">
        <f t="shared" si="17"/>
        <v>#VALUE!</v>
      </c>
      <c r="AV21" s="153" t="e">
        <f t="shared" si="17"/>
        <v>#VALUE!</v>
      </c>
      <c r="AW21" s="153" t="e">
        <f t="shared" si="17"/>
        <v>#VALUE!</v>
      </c>
      <c r="AX21" s="153" t="e">
        <f t="shared" si="17"/>
        <v>#VALUE!</v>
      </c>
      <c r="AY21" s="153" t="e">
        <f t="shared" si="17"/>
        <v>#VALUE!</v>
      </c>
      <c r="AZ21" s="153" t="e">
        <f t="shared" si="17"/>
        <v>#VALUE!</v>
      </c>
      <c r="BA21" s="153" t="e">
        <f t="shared" si="17"/>
        <v>#VALUE!</v>
      </c>
      <c r="BB21" s="152" t="e">
        <f t="shared" si="8"/>
        <v>#VALUE!</v>
      </c>
      <c r="BC21" s="126">
        <f t="shared" si="9"/>
        <v>0.1</v>
      </c>
      <c r="BD21" s="72"/>
      <c r="DI21"/>
    </row>
    <row r="22" spans="1:113" x14ac:dyDescent="0.2">
      <c r="A22">
        <v>10</v>
      </c>
      <c r="B22" s="38" t="s">
        <v>50</v>
      </c>
      <c r="C22" s="31">
        <v>1822232</v>
      </c>
      <c r="D22" s="67">
        <v>3416685</v>
      </c>
      <c r="E22" s="33">
        <v>19534</v>
      </c>
      <c r="G22" s="78">
        <f t="shared" ref="G22:G27" si="22">+D22/AM22</f>
        <v>174.90964472202313</v>
      </c>
      <c r="H22" s="76">
        <f t="shared" ref="H22:H27" si="23">SUM(AM22:BA22)/D22</f>
        <v>8.5758564222338324E-2</v>
      </c>
      <c r="I22" s="111">
        <f t="shared" ref="I22:I27" si="24">-AM22/AL22</f>
        <v>5.7172376148225549E-3</v>
      </c>
      <c r="J22" s="166">
        <f>IRR(AL22:BA22,-0.1)</f>
        <v>-0.21652775203562713</v>
      </c>
      <c r="K22" s="143">
        <f t="shared" ref="K22:K26" si="25">+BB22</f>
        <v>-3268107.8429237725</v>
      </c>
      <c r="L22" s="109"/>
      <c r="M22" s="78">
        <f t="shared" ref="M22:M27" si="26">+C22/T22</f>
        <v>93.285143851745673</v>
      </c>
      <c r="N22" s="105">
        <f t="shared" ref="N22:N27" si="27">SUM(T22:AH22)/C22</f>
        <v>0.16079730791688435</v>
      </c>
      <c r="O22" s="77">
        <f t="shared" ref="O22:O27" si="28">-T22/S22</f>
        <v>1.071982052779229E-2</v>
      </c>
      <c r="P22" s="166">
        <f>IRR(S22:AH22,-0.1)</f>
        <v>-0.1723736466980631</v>
      </c>
      <c r="Q22" s="144">
        <f t="shared" ref="Q22:Q27" si="29">+AI22</f>
        <v>-1673654.8429237725</v>
      </c>
      <c r="S22" s="149">
        <f t="shared" si="13"/>
        <v>-1822232</v>
      </c>
      <c r="T22" s="150">
        <f t="shared" si="4"/>
        <v>19534</v>
      </c>
      <c r="U22" s="150">
        <f t="shared" si="4"/>
        <v>19534</v>
      </c>
      <c r="V22" s="150">
        <f t="shared" si="4"/>
        <v>19534</v>
      </c>
      <c r="W22" s="150">
        <f t="shared" si="4"/>
        <v>19534</v>
      </c>
      <c r="X22" s="150">
        <f t="shared" si="4"/>
        <v>19534</v>
      </c>
      <c r="Y22" s="150">
        <f t="shared" si="4"/>
        <v>19534</v>
      </c>
      <c r="Z22" s="150">
        <f t="shared" si="4"/>
        <v>19534</v>
      </c>
      <c r="AA22" s="150">
        <f t="shared" si="4"/>
        <v>19534</v>
      </c>
      <c r="AB22" s="150">
        <f t="shared" si="4"/>
        <v>19534</v>
      </c>
      <c r="AC22" s="150">
        <f t="shared" si="4"/>
        <v>19534</v>
      </c>
      <c r="AD22" s="150">
        <f t="shared" si="4"/>
        <v>19534</v>
      </c>
      <c r="AE22" s="150">
        <f t="shared" si="4"/>
        <v>19534</v>
      </c>
      <c r="AF22" s="150">
        <f t="shared" si="4"/>
        <v>19534</v>
      </c>
      <c r="AG22" s="150">
        <f t="shared" si="4"/>
        <v>19534</v>
      </c>
      <c r="AH22" s="150">
        <f t="shared" si="4"/>
        <v>19534</v>
      </c>
      <c r="AI22" s="151">
        <f t="shared" si="5"/>
        <v>-1673654.8429237725</v>
      </c>
      <c r="AJ22" s="81">
        <f t="shared" si="6"/>
        <v>0.1</v>
      </c>
      <c r="AK22" s="83"/>
      <c r="AL22" s="154">
        <f t="shared" si="21"/>
        <v>-3416685</v>
      </c>
      <c r="AM22" s="155">
        <f t="shared" si="17"/>
        <v>19534</v>
      </c>
      <c r="AN22" s="155">
        <f t="shared" si="17"/>
        <v>19534</v>
      </c>
      <c r="AO22" s="155">
        <f t="shared" si="17"/>
        <v>19534</v>
      </c>
      <c r="AP22" s="155">
        <f t="shared" si="17"/>
        <v>19534</v>
      </c>
      <c r="AQ22" s="155">
        <f t="shared" si="17"/>
        <v>19534</v>
      </c>
      <c r="AR22" s="155">
        <f t="shared" si="17"/>
        <v>19534</v>
      </c>
      <c r="AS22" s="155">
        <f t="shared" si="17"/>
        <v>19534</v>
      </c>
      <c r="AT22" s="155">
        <f t="shared" si="17"/>
        <v>19534</v>
      </c>
      <c r="AU22" s="155">
        <f t="shared" si="17"/>
        <v>19534</v>
      </c>
      <c r="AV22" s="155">
        <f t="shared" si="17"/>
        <v>19534</v>
      </c>
      <c r="AW22" s="155">
        <f t="shared" si="17"/>
        <v>19534</v>
      </c>
      <c r="AX22" s="155">
        <f t="shared" si="17"/>
        <v>19534</v>
      </c>
      <c r="AY22" s="155">
        <f t="shared" si="17"/>
        <v>19534</v>
      </c>
      <c r="AZ22" s="155">
        <f t="shared" si="17"/>
        <v>19534</v>
      </c>
      <c r="BA22" s="155">
        <f t="shared" si="17"/>
        <v>19534</v>
      </c>
      <c r="BB22" s="156">
        <f t="shared" si="8"/>
        <v>-3268107.8429237725</v>
      </c>
      <c r="BC22" s="81">
        <f t="shared" si="9"/>
        <v>0.1</v>
      </c>
      <c r="BD22" s="72"/>
      <c r="DI22"/>
    </row>
    <row r="23" spans="1:113" x14ac:dyDescent="0.2">
      <c r="A23">
        <v>11</v>
      </c>
      <c r="B23" s="38" t="s">
        <v>51</v>
      </c>
      <c r="C23" s="31">
        <v>320000</v>
      </c>
      <c r="D23" s="67">
        <v>600000</v>
      </c>
      <c r="E23" s="33">
        <v>3939</v>
      </c>
      <c r="G23" s="78">
        <f t="shared" si="22"/>
        <v>152.32292460015233</v>
      </c>
      <c r="H23" s="76">
        <f t="shared" si="23"/>
        <v>9.8474999999999993E-2</v>
      </c>
      <c r="I23" s="111">
        <f t="shared" si="24"/>
        <v>6.5649999999999997E-3</v>
      </c>
      <c r="J23" s="166">
        <f>IRR(AL23:BA23,-0.1)</f>
        <v>-0.2072252992993957</v>
      </c>
      <c r="K23" s="143">
        <f t="shared" si="25"/>
        <v>-570039.65282465133</v>
      </c>
      <c r="L23" s="109"/>
      <c r="M23" s="78">
        <f t="shared" si="26"/>
        <v>81.238893120081244</v>
      </c>
      <c r="N23" s="105">
        <f t="shared" si="27"/>
        <v>0.184640625</v>
      </c>
      <c r="O23" s="77">
        <f t="shared" si="28"/>
        <v>1.2309374999999999E-2</v>
      </c>
      <c r="P23" s="166">
        <f>IRR(S23:AH23,-0.1)</f>
        <v>-0.1619517242271441</v>
      </c>
      <c r="Q23" s="144">
        <f t="shared" si="29"/>
        <v>-290039.65282465139</v>
      </c>
      <c r="S23" s="149">
        <f t="shared" si="13"/>
        <v>-320000</v>
      </c>
      <c r="T23" s="150">
        <f t="shared" si="4"/>
        <v>3939</v>
      </c>
      <c r="U23" s="150">
        <f t="shared" si="4"/>
        <v>3939</v>
      </c>
      <c r="V23" s="150">
        <f t="shared" si="4"/>
        <v>3939</v>
      </c>
      <c r="W23" s="150">
        <f t="shared" si="4"/>
        <v>3939</v>
      </c>
      <c r="X23" s="150">
        <f t="shared" si="4"/>
        <v>3939</v>
      </c>
      <c r="Y23" s="150">
        <f t="shared" si="4"/>
        <v>3939</v>
      </c>
      <c r="Z23" s="150">
        <f t="shared" si="4"/>
        <v>3939</v>
      </c>
      <c r="AA23" s="150">
        <f t="shared" si="4"/>
        <v>3939</v>
      </c>
      <c r="AB23" s="150">
        <f t="shared" si="4"/>
        <v>3939</v>
      </c>
      <c r="AC23" s="150">
        <f t="shared" si="4"/>
        <v>3939</v>
      </c>
      <c r="AD23" s="150">
        <f t="shared" si="4"/>
        <v>3939</v>
      </c>
      <c r="AE23" s="150">
        <f t="shared" si="4"/>
        <v>3939</v>
      </c>
      <c r="AF23" s="150">
        <f t="shared" si="4"/>
        <v>3939</v>
      </c>
      <c r="AG23" s="150">
        <f t="shared" si="4"/>
        <v>3939</v>
      </c>
      <c r="AH23" s="150">
        <f t="shared" si="4"/>
        <v>3939</v>
      </c>
      <c r="AI23" s="151">
        <f t="shared" si="5"/>
        <v>-290039.65282465139</v>
      </c>
      <c r="AJ23" s="81">
        <f t="shared" si="6"/>
        <v>0.1</v>
      </c>
      <c r="AK23" s="83"/>
      <c r="AL23" s="154">
        <f t="shared" si="21"/>
        <v>-600000</v>
      </c>
      <c r="AM23" s="155">
        <f t="shared" si="17"/>
        <v>3939</v>
      </c>
      <c r="AN23" s="155">
        <f t="shared" si="17"/>
        <v>3939</v>
      </c>
      <c r="AO23" s="155">
        <f t="shared" si="17"/>
        <v>3939</v>
      </c>
      <c r="AP23" s="155">
        <f t="shared" si="17"/>
        <v>3939</v>
      </c>
      <c r="AQ23" s="155">
        <f t="shared" si="17"/>
        <v>3939</v>
      </c>
      <c r="AR23" s="155">
        <f t="shared" si="17"/>
        <v>3939</v>
      </c>
      <c r="AS23" s="155">
        <f t="shared" si="17"/>
        <v>3939</v>
      </c>
      <c r="AT23" s="155">
        <f t="shared" si="17"/>
        <v>3939</v>
      </c>
      <c r="AU23" s="155">
        <f t="shared" si="17"/>
        <v>3939</v>
      </c>
      <c r="AV23" s="155">
        <f t="shared" si="17"/>
        <v>3939</v>
      </c>
      <c r="AW23" s="155">
        <f t="shared" si="17"/>
        <v>3939</v>
      </c>
      <c r="AX23" s="155">
        <f t="shared" si="17"/>
        <v>3939</v>
      </c>
      <c r="AY23" s="155">
        <f t="shared" si="17"/>
        <v>3939</v>
      </c>
      <c r="AZ23" s="155">
        <f t="shared" si="17"/>
        <v>3939</v>
      </c>
      <c r="BA23" s="155">
        <f t="shared" si="17"/>
        <v>3939</v>
      </c>
      <c r="BB23" s="156">
        <f t="shared" si="8"/>
        <v>-570039.65282465133</v>
      </c>
      <c r="BC23" s="81">
        <f t="shared" si="9"/>
        <v>0.1</v>
      </c>
      <c r="BD23" s="72"/>
      <c r="DI23"/>
    </row>
    <row r="24" spans="1:113" x14ac:dyDescent="0.2">
      <c r="A24">
        <v>12</v>
      </c>
      <c r="B24" s="32" t="s">
        <v>61</v>
      </c>
      <c r="C24" s="24">
        <v>2350000</v>
      </c>
      <c r="D24" s="68">
        <v>47200000</v>
      </c>
      <c r="E24" s="35">
        <v>702507</v>
      </c>
      <c r="G24" s="78">
        <f t="shared" si="22"/>
        <v>67.187942611248005</v>
      </c>
      <c r="H24" s="76">
        <f t="shared" si="23"/>
        <v>0.22325434322033899</v>
      </c>
      <c r="I24" s="111">
        <f t="shared" si="24"/>
        <v>1.4883622881355932E-2</v>
      </c>
      <c r="J24" s="166">
        <f>IRR(AL24:BA24,-0.1)</f>
        <v>-0.14714723521159845</v>
      </c>
      <c r="K24" s="143">
        <f t="shared" si="25"/>
        <v>-41856675.904261835</v>
      </c>
      <c r="L24" s="109"/>
      <c r="M24" s="78">
        <f t="shared" si="26"/>
        <v>3.345162396958322</v>
      </c>
      <c r="N24" s="105">
        <f t="shared" si="27"/>
        <v>4.484087234042553</v>
      </c>
      <c r="O24" s="77">
        <f t="shared" si="28"/>
        <v>0.29893914893617024</v>
      </c>
      <c r="P24" s="166">
        <f>IRR(S24:AH24)</f>
        <v>0.29257490219945081</v>
      </c>
      <c r="Q24" s="144">
        <f t="shared" si="29"/>
        <v>2993324.0957381669</v>
      </c>
      <c r="S24" s="149">
        <f t="shared" si="13"/>
        <v>-2350000</v>
      </c>
      <c r="T24" s="150">
        <f t="shared" si="4"/>
        <v>702507</v>
      </c>
      <c r="U24" s="150">
        <f t="shared" si="4"/>
        <v>702507</v>
      </c>
      <c r="V24" s="150">
        <f t="shared" si="4"/>
        <v>702507</v>
      </c>
      <c r="W24" s="150">
        <f t="shared" si="4"/>
        <v>702507</v>
      </c>
      <c r="X24" s="150">
        <f t="shared" si="4"/>
        <v>702507</v>
      </c>
      <c r="Y24" s="150">
        <f t="shared" si="4"/>
        <v>702507</v>
      </c>
      <c r="Z24" s="150">
        <f t="shared" si="4"/>
        <v>702507</v>
      </c>
      <c r="AA24" s="150">
        <f t="shared" si="4"/>
        <v>702507</v>
      </c>
      <c r="AB24" s="150">
        <f t="shared" si="4"/>
        <v>702507</v>
      </c>
      <c r="AC24" s="150">
        <f t="shared" si="4"/>
        <v>702507</v>
      </c>
      <c r="AD24" s="150">
        <f t="shared" si="4"/>
        <v>702507</v>
      </c>
      <c r="AE24" s="150">
        <f t="shared" si="4"/>
        <v>702507</v>
      </c>
      <c r="AF24" s="150">
        <f t="shared" si="4"/>
        <v>702507</v>
      </c>
      <c r="AG24" s="150">
        <f t="shared" si="4"/>
        <v>702507</v>
      </c>
      <c r="AH24" s="150">
        <f t="shared" si="4"/>
        <v>702507</v>
      </c>
      <c r="AI24" s="151">
        <f t="shared" si="5"/>
        <v>2993324.0957381669</v>
      </c>
      <c r="AJ24" s="81">
        <f t="shared" si="6"/>
        <v>0.1</v>
      </c>
      <c r="AK24" s="83"/>
      <c r="AL24" s="154">
        <f t="shared" si="21"/>
        <v>-47200000</v>
      </c>
      <c r="AM24" s="155">
        <f t="shared" si="17"/>
        <v>702507</v>
      </c>
      <c r="AN24" s="155">
        <f t="shared" si="17"/>
        <v>702507</v>
      </c>
      <c r="AO24" s="155">
        <f t="shared" si="17"/>
        <v>702507</v>
      </c>
      <c r="AP24" s="155">
        <f t="shared" si="17"/>
        <v>702507</v>
      </c>
      <c r="AQ24" s="155">
        <f t="shared" si="17"/>
        <v>702507</v>
      </c>
      <c r="AR24" s="155">
        <f t="shared" si="17"/>
        <v>702507</v>
      </c>
      <c r="AS24" s="155">
        <f t="shared" si="17"/>
        <v>702507</v>
      </c>
      <c r="AT24" s="155">
        <f t="shared" si="17"/>
        <v>702507</v>
      </c>
      <c r="AU24" s="155">
        <f t="shared" si="17"/>
        <v>702507</v>
      </c>
      <c r="AV24" s="155">
        <f t="shared" si="17"/>
        <v>702507</v>
      </c>
      <c r="AW24" s="155">
        <f t="shared" si="17"/>
        <v>702507</v>
      </c>
      <c r="AX24" s="155">
        <f t="shared" si="17"/>
        <v>702507</v>
      </c>
      <c r="AY24" s="155">
        <f t="shared" si="17"/>
        <v>702507</v>
      </c>
      <c r="AZ24" s="155">
        <f t="shared" si="17"/>
        <v>702507</v>
      </c>
      <c r="BA24" s="155">
        <f t="shared" si="17"/>
        <v>702507</v>
      </c>
      <c r="BB24" s="156">
        <f t="shared" si="8"/>
        <v>-41856675.904261835</v>
      </c>
      <c r="BC24" s="81">
        <f t="shared" si="9"/>
        <v>0.1</v>
      </c>
      <c r="BD24" s="72"/>
      <c r="DI24"/>
    </row>
    <row r="25" spans="1:113" x14ac:dyDescent="0.2">
      <c r="A25">
        <v>13</v>
      </c>
      <c r="B25" s="32" t="s">
        <v>62</v>
      </c>
      <c r="C25" s="24">
        <v>8426625</v>
      </c>
      <c r="D25" s="68">
        <v>24532606</v>
      </c>
      <c r="E25" s="35">
        <v>940862</v>
      </c>
      <c r="G25" s="78">
        <f t="shared" si="22"/>
        <v>26.074606052747374</v>
      </c>
      <c r="H25" s="76">
        <f t="shared" si="23"/>
        <v>0.57527235386244735</v>
      </c>
      <c r="I25" s="111">
        <f t="shared" si="24"/>
        <v>3.8351490257496491E-2</v>
      </c>
      <c r="J25" s="166">
        <f>IRR(AL25:BA25)</f>
        <v>-6.2298748361569456E-2</v>
      </c>
      <c r="K25" s="143">
        <f t="shared" si="25"/>
        <v>-17376334.823535703</v>
      </c>
      <c r="L25" s="109"/>
      <c r="M25" s="78">
        <f t="shared" si="26"/>
        <v>8.9562815800829458</v>
      </c>
      <c r="N25" s="105">
        <f t="shared" si="27"/>
        <v>1.6748021894886742</v>
      </c>
      <c r="O25" s="77">
        <f t="shared" si="28"/>
        <v>0.11165347929924495</v>
      </c>
      <c r="P25" s="166">
        <f>IRR(S25:AH25)</f>
        <v>7.2670070240738571E-2</v>
      </c>
      <c r="Q25" s="144">
        <f t="shared" si="29"/>
        <v>-1270353.823535705</v>
      </c>
      <c r="S25" s="149">
        <f t="shared" si="13"/>
        <v>-8426625</v>
      </c>
      <c r="T25" s="150">
        <f t="shared" si="4"/>
        <v>940862</v>
      </c>
      <c r="U25" s="150">
        <f t="shared" si="4"/>
        <v>940862</v>
      </c>
      <c r="V25" s="150">
        <f t="shared" si="4"/>
        <v>940862</v>
      </c>
      <c r="W25" s="150">
        <f t="shared" si="4"/>
        <v>940862</v>
      </c>
      <c r="X25" s="150">
        <f t="shared" si="4"/>
        <v>940862</v>
      </c>
      <c r="Y25" s="150">
        <f t="shared" si="4"/>
        <v>940862</v>
      </c>
      <c r="Z25" s="150">
        <f t="shared" si="4"/>
        <v>940862</v>
      </c>
      <c r="AA25" s="150">
        <f t="shared" si="4"/>
        <v>940862</v>
      </c>
      <c r="AB25" s="150">
        <f t="shared" si="4"/>
        <v>940862</v>
      </c>
      <c r="AC25" s="150">
        <f t="shared" si="4"/>
        <v>940862</v>
      </c>
      <c r="AD25" s="150">
        <f t="shared" si="4"/>
        <v>940862</v>
      </c>
      <c r="AE25" s="150">
        <f t="shared" si="4"/>
        <v>940862</v>
      </c>
      <c r="AF25" s="150">
        <f t="shared" si="4"/>
        <v>940862</v>
      </c>
      <c r="AG25" s="150">
        <f t="shared" si="4"/>
        <v>940862</v>
      </c>
      <c r="AH25" s="150">
        <f t="shared" si="4"/>
        <v>940862</v>
      </c>
      <c r="AI25" s="151">
        <f t="shared" si="5"/>
        <v>-1270353.823535705</v>
      </c>
      <c r="AJ25" s="81">
        <f t="shared" si="6"/>
        <v>0.1</v>
      </c>
      <c r="AK25" s="83"/>
      <c r="AL25" s="154">
        <f t="shared" si="21"/>
        <v>-24532606</v>
      </c>
      <c r="AM25" s="155">
        <f t="shared" si="17"/>
        <v>940862</v>
      </c>
      <c r="AN25" s="155">
        <f t="shared" si="17"/>
        <v>940862</v>
      </c>
      <c r="AO25" s="155">
        <f t="shared" si="17"/>
        <v>940862</v>
      </c>
      <c r="AP25" s="155">
        <f t="shared" si="17"/>
        <v>940862</v>
      </c>
      <c r="AQ25" s="155">
        <f t="shared" si="17"/>
        <v>940862</v>
      </c>
      <c r="AR25" s="155">
        <f t="shared" si="17"/>
        <v>940862</v>
      </c>
      <c r="AS25" s="155">
        <f t="shared" si="17"/>
        <v>940862</v>
      </c>
      <c r="AT25" s="155">
        <f t="shared" si="17"/>
        <v>940862</v>
      </c>
      <c r="AU25" s="155">
        <f t="shared" si="17"/>
        <v>940862</v>
      </c>
      <c r="AV25" s="155">
        <f t="shared" si="17"/>
        <v>940862</v>
      </c>
      <c r="AW25" s="155">
        <f t="shared" si="17"/>
        <v>940862</v>
      </c>
      <c r="AX25" s="155">
        <f t="shared" si="17"/>
        <v>940862</v>
      </c>
      <c r="AY25" s="155">
        <f t="shared" si="17"/>
        <v>940862</v>
      </c>
      <c r="AZ25" s="155">
        <f t="shared" si="17"/>
        <v>940862</v>
      </c>
      <c r="BA25" s="155">
        <f t="shared" si="17"/>
        <v>940862</v>
      </c>
      <c r="BB25" s="156">
        <f t="shared" si="8"/>
        <v>-17376334.823535703</v>
      </c>
      <c r="BC25" s="81">
        <f t="shared" si="9"/>
        <v>0.1</v>
      </c>
      <c r="BD25" s="72"/>
      <c r="DI25"/>
    </row>
    <row r="26" spans="1:113" x14ac:dyDescent="0.2">
      <c r="A26">
        <v>14</v>
      </c>
      <c r="B26" s="38" t="s">
        <v>63</v>
      </c>
      <c r="C26" s="24">
        <v>7740000</v>
      </c>
      <c r="D26" s="68">
        <v>7740000</v>
      </c>
      <c r="E26" s="35">
        <v>123503</v>
      </c>
      <c r="G26" s="78">
        <f t="shared" si="22"/>
        <v>62.670542415973699</v>
      </c>
      <c r="H26" s="76">
        <f t="shared" si="23"/>
        <v>0.2393468992248062</v>
      </c>
      <c r="I26" s="111">
        <f t="shared" si="24"/>
        <v>1.5956459948320414E-2</v>
      </c>
      <c r="J26" s="166">
        <f>IRR(AL26:BA26,-0.1)</f>
        <v>-0.14156798582174623</v>
      </c>
      <c r="K26" s="143">
        <f t="shared" si="25"/>
        <v>-6800626.3627323983</v>
      </c>
      <c r="L26" s="109"/>
      <c r="M26" s="78">
        <f t="shared" si="26"/>
        <v>62.670542415973699</v>
      </c>
      <c r="N26" s="105">
        <f t="shared" si="27"/>
        <v>0.2393468992248062</v>
      </c>
      <c r="O26" s="77">
        <f t="shared" si="28"/>
        <v>1.5956459948320414E-2</v>
      </c>
      <c r="P26" s="166">
        <f>IRR(S26:AH26,-0.1)</f>
        <v>-0.14156798582174623</v>
      </c>
      <c r="Q26" s="144">
        <f t="shared" si="29"/>
        <v>-6800626.3627323983</v>
      </c>
      <c r="S26" s="149">
        <f t="shared" si="13"/>
        <v>-7740000</v>
      </c>
      <c r="T26" s="150">
        <f t="shared" si="4"/>
        <v>123503</v>
      </c>
      <c r="U26" s="150">
        <f t="shared" si="4"/>
        <v>123503</v>
      </c>
      <c r="V26" s="150">
        <f t="shared" si="4"/>
        <v>123503</v>
      </c>
      <c r="W26" s="150">
        <f t="shared" si="4"/>
        <v>123503</v>
      </c>
      <c r="X26" s="150">
        <f t="shared" si="4"/>
        <v>123503</v>
      </c>
      <c r="Y26" s="150">
        <f t="shared" si="4"/>
        <v>123503</v>
      </c>
      <c r="Z26" s="150">
        <f t="shared" si="4"/>
        <v>123503</v>
      </c>
      <c r="AA26" s="150">
        <f t="shared" si="4"/>
        <v>123503</v>
      </c>
      <c r="AB26" s="150">
        <f t="shared" si="4"/>
        <v>123503</v>
      </c>
      <c r="AC26" s="150">
        <f t="shared" si="4"/>
        <v>123503</v>
      </c>
      <c r="AD26" s="150">
        <f t="shared" si="4"/>
        <v>123503</v>
      </c>
      <c r="AE26" s="150">
        <f t="shared" si="4"/>
        <v>123503</v>
      </c>
      <c r="AF26" s="150">
        <f t="shared" si="4"/>
        <v>123503</v>
      </c>
      <c r="AG26" s="150">
        <f t="shared" si="4"/>
        <v>123503</v>
      </c>
      <c r="AH26" s="150">
        <f t="shared" si="4"/>
        <v>123503</v>
      </c>
      <c r="AI26" s="151">
        <f t="shared" si="5"/>
        <v>-6800626.3627323983</v>
      </c>
      <c r="AJ26" s="81">
        <f t="shared" si="6"/>
        <v>0.1</v>
      </c>
      <c r="AK26" s="83"/>
      <c r="AL26" s="154">
        <f t="shared" si="21"/>
        <v>-7740000</v>
      </c>
      <c r="AM26" s="155">
        <f t="shared" si="17"/>
        <v>123503</v>
      </c>
      <c r="AN26" s="155">
        <f t="shared" si="17"/>
        <v>123503</v>
      </c>
      <c r="AO26" s="155">
        <f t="shared" si="17"/>
        <v>123503</v>
      </c>
      <c r="AP26" s="155">
        <f t="shared" si="17"/>
        <v>123503</v>
      </c>
      <c r="AQ26" s="155">
        <f t="shared" si="17"/>
        <v>123503</v>
      </c>
      <c r="AR26" s="155">
        <f t="shared" si="17"/>
        <v>123503</v>
      </c>
      <c r="AS26" s="155">
        <f t="shared" si="17"/>
        <v>123503</v>
      </c>
      <c r="AT26" s="155">
        <f t="shared" si="17"/>
        <v>123503</v>
      </c>
      <c r="AU26" s="155">
        <f t="shared" si="17"/>
        <v>123503</v>
      </c>
      <c r="AV26" s="155">
        <f t="shared" si="17"/>
        <v>123503</v>
      </c>
      <c r="AW26" s="155">
        <f t="shared" si="17"/>
        <v>123503</v>
      </c>
      <c r="AX26" s="155">
        <f t="shared" si="17"/>
        <v>123503</v>
      </c>
      <c r="AY26" s="155">
        <f t="shared" si="17"/>
        <v>123503</v>
      </c>
      <c r="AZ26" s="155">
        <f t="shared" si="17"/>
        <v>123503</v>
      </c>
      <c r="BA26" s="155">
        <f t="shared" si="17"/>
        <v>123503</v>
      </c>
      <c r="BB26" s="156">
        <f t="shared" si="8"/>
        <v>-6800626.3627323983</v>
      </c>
      <c r="BC26" s="81">
        <f t="shared" si="9"/>
        <v>0.1</v>
      </c>
      <c r="BD26" s="72"/>
      <c r="DI26"/>
    </row>
    <row r="27" spans="1:113" x14ac:dyDescent="0.2">
      <c r="A27">
        <v>15</v>
      </c>
      <c r="B27" s="137" t="s">
        <v>64</v>
      </c>
      <c r="C27" s="134">
        <v>365734</v>
      </c>
      <c r="D27" s="139">
        <v>365734</v>
      </c>
      <c r="E27" s="140">
        <v>25000</v>
      </c>
      <c r="F27" s="120"/>
      <c r="G27" s="121">
        <f t="shared" si="22"/>
        <v>0.94576024866243091</v>
      </c>
      <c r="H27" s="121">
        <f t="shared" si="23"/>
        <v>15.860256361180531</v>
      </c>
      <c r="I27" s="122">
        <f t="shared" si="24"/>
        <v>1.0573504240787019</v>
      </c>
      <c r="J27" s="164">
        <f>IRR(AL27:BA27)</f>
        <v>1.0573293056424422</v>
      </c>
      <c r="K27" s="143">
        <f>+BB27</f>
        <v>2575605.3998049987</v>
      </c>
      <c r="L27" s="123"/>
      <c r="M27" s="121">
        <f t="shared" si="26"/>
        <v>0.94576024866243091</v>
      </c>
      <c r="N27" s="124">
        <f t="shared" si="27"/>
        <v>15.860256361180531</v>
      </c>
      <c r="O27" s="125">
        <f t="shared" si="28"/>
        <v>1.0573504240787019</v>
      </c>
      <c r="P27" s="164">
        <f>IRR(S27:AH27)</f>
        <v>1.0573293056424422</v>
      </c>
      <c r="Q27" s="144">
        <f t="shared" si="29"/>
        <v>2575605.3998049987</v>
      </c>
      <c r="R27" s="120"/>
      <c r="S27" s="147">
        <f t="shared" si="13"/>
        <v>-365734</v>
      </c>
      <c r="T27" s="148">
        <f>$E27*(1+$C$2+$C$4)^T$10+T28</f>
        <v>386709</v>
      </c>
      <c r="U27" s="148">
        <f t="shared" ref="U27:AH27" si="30">$E27*(1+$C$2+$C$4)^U$10+U28</f>
        <v>386709</v>
      </c>
      <c r="V27" s="148">
        <f t="shared" si="30"/>
        <v>386709</v>
      </c>
      <c r="W27" s="148">
        <f t="shared" si="30"/>
        <v>386709</v>
      </c>
      <c r="X27" s="148">
        <f t="shared" si="30"/>
        <v>386709</v>
      </c>
      <c r="Y27" s="148">
        <f t="shared" si="30"/>
        <v>386709</v>
      </c>
      <c r="Z27" s="148">
        <f t="shared" si="30"/>
        <v>386709</v>
      </c>
      <c r="AA27" s="148">
        <f t="shared" si="30"/>
        <v>386709</v>
      </c>
      <c r="AB27" s="148">
        <f t="shared" si="30"/>
        <v>386709</v>
      </c>
      <c r="AC27" s="148">
        <f t="shared" si="30"/>
        <v>386709</v>
      </c>
      <c r="AD27" s="148">
        <f t="shared" si="30"/>
        <v>386709</v>
      </c>
      <c r="AE27" s="148">
        <f t="shared" si="30"/>
        <v>386709</v>
      </c>
      <c r="AF27" s="148">
        <f t="shared" si="30"/>
        <v>386709</v>
      </c>
      <c r="AG27" s="148">
        <f t="shared" si="30"/>
        <v>386709</v>
      </c>
      <c r="AH27" s="148">
        <f t="shared" si="30"/>
        <v>386709</v>
      </c>
      <c r="AI27" s="146">
        <f t="shared" si="5"/>
        <v>2575605.3998049987</v>
      </c>
      <c r="AJ27" s="126">
        <f t="shared" si="6"/>
        <v>0.1</v>
      </c>
      <c r="AK27" s="136"/>
      <c r="AL27" s="152">
        <f t="shared" si="21"/>
        <v>-365734</v>
      </c>
      <c r="AM27" s="153">
        <f t="shared" ref="AM27:BA27" si="31">$E27*(1+$C$2+$C$4)^AM$10+AM28</f>
        <v>386709</v>
      </c>
      <c r="AN27" s="153">
        <f t="shared" si="31"/>
        <v>386709</v>
      </c>
      <c r="AO27" s="153">
        <f t="shared" si="31"/>
        <v>386709</v>
      </c>
      <c r="AP27" s="153">
        <f t="shared" si="31"/>
        <v>386709</v>
      </c>
      <c r="AQ27" s="153">
        <f t="shared" si="31"/>
        <v>386709</v>
      </c>
      <c r="AR27" s="153">
        <f t="shared" si="31"/>
        <v>386709</v>
      </c>
      <c r="AS27" s="153">
        <f t="shared" si="31"/>
        <v>386709</v>
      </c>
      <c r="AT27" s="153">
        <f t="shared" si="31"/>
        <v>386709</v>
      </c>
      <c r="AU27" s="153">
        <f t="shared" si="31"/>
        <v>386709</v>
      </c>
      <c r="AV27" s="153">
        <f t="shared" si="31"/>
        <v>386709</v>
      </c>
      <c r="AW27" s="153">
        <f t="shared" si="31"/>
        <v>386709</v>
      </c>
      <c r="AX27" s="153">
        <f t="shared" si="31"/>
        <v>386709</v>
      </c>
      <c r="AY27" s="153">
        <f t="shared" si="31"/>
        <v>386709</v>
      </c>
      <c r="AZ27" s="153">
        <f t="shared" si="31"/>
        <v>386709</v>
      </c>
      <c r="BA27" s="153">
        <f t="shared" si="31"/>
        <v>386709</v>
      </c>
      <c r="BB27" s="152">
        <f t="shared" si="8"/>
        <v>2575605.3998049987</v>
      </c>
      <c r="BC27" s="126">
        <f t="shared" si="9"/>
        <v>0.1</v>
      </c>
      <c r="BD27" s="72"/>
      <c r="DI27"/>
    </row>
    <row r="28" spans="1:113" x14ac:dyDescent="0.2">
      <c r="A28">
        <v>15</v>
      </c>
      <c r="B28" s="128" t="s">
        <v>65</v>
      </c>
      <c r="C28" s="141" t="s">
        <v>3</v>
      </c>
      <c r="D28" s="141" t="s">
        <v>7</v>
      </c>
      <c r="E28" s="140">
        <v>361709</v>
      </c>
      <c r="F28" s="120"/>
      <c r="G28" s="129" t="s">
        <v>22</v>
      </c>
      <c r="H28" s="129" t="s">
        <v>23</v>
      </c>
      <c r="I28" s="131" t="s">
        <v>22</v>
      </c>
      <c r="J28" s="165" t="s">
        <v>22</v>
      </c>
      <c r="K28" s="129" t="s">
        <v>22</v>
      </c>
      <c r="L28" s="132"/>
      <c r="M28" s="129" t="s">
        <v>22</v>
      </c>
      <c r="N28" s="133" t="s">
        <v>23</v>
      </c>
      <c r="O28" s="129" t="s">
        <v>22</v>
      </c>
      <c r="P28" s="165" t="s">
        <v>7</v>
      </c>
      <c r="Q28" s="134" t="s">
        <v>7</v>
      </c>
      <c r="R28" s="120"/>
      <c r="S28" s="147" t="s">
        <v>36</v>
      </c>
      <c r="T28" s="148">
        <f t="shared" si="4"/>
        <v>361709</v>
      </c>
      <c r="U28" s="148">
        <f t="shared" si="4"/>
        <v>361709</v>
      </c>
      <c r="V28" s="148">
        <f t="shared" si="4"/>
        <v>361709</v>
      </c>
      <c r="W28" s="148">
        <f t="shared" si="4"/>
        <v>361709</v>
      </c>
      <c r="X28" s="148">
        <f t="shared" si="4"/>
        <v>361709</v>
      </c>
      <c r="Y28" s="148">
        <f t="shared" si="4"/>
        <v>361709</v>
      </c>
      <c r="Z28" s="148">
        <f t="shared" si="4"/>
        <v>361709</v>
      </c>
      <c r="AA28" s="148">
        <f t="shared" si="4"/>
        <v>361709</v>
      </c>
      <c r="AB28" s="148">
        <f t="shared" si="4"/>
        <v>361709</v>
      </c>
      <c r="AC28" s="148">
        <f t="shared" si="4"/>
        <v>361709</v>
      </c>
      <c r="AD28" s="148">
        <f t="shared" si="4"/>
        <v>361709</v>
      </c>
      <c r="AE28" s="148">
        <f t="shared" si="4"/>
        <v>361709</v>
      </c>
      <c r="AF28" s="148">
        <f t="shared" si="4"/>
        <v>361709</v>
      </c>
      <c r="AG28" s="148">
        <f t="shared" si="4"/>
        <v>361709</v>
      </c>
      <c r="AH28" s="148">
        <f t="shared" si="4"/>
        <v>361709</v>
      </c>
      <c r="AI28" s="146" t="e">
        <f t="shared" si="5"/>
        <v>#VALUE!</v>
      </c>
      <c r="AJ28" s="126">
        <f t="shared" si="6"/>
        <v>0.1</v>
      </c>
      <c r="AK28" s="136"/>
      <c r="AL28" s="152" t="s">
        <v>4</v>
      </c>
      <c r="AM28" s="153">
        <f t="shared" ref="AM28:BA29" si="32">$E28*(1+$C$2+$C$4)^AM$10</f>
        <v>361709</v>
      </c>
      <c r="AN28" s="153">
        <f t="shared" si="32"/>
        <v>361709</v>
      </c>
      <c r="AO28" s="153">
        <f t="shared" si="32"/>
        <v>361709</v>
      </c>
      <c r="AP28" s="153">
        <f t="shared" si="32"/>
        <v>361709</v>
      </c>
      <c r="AQ28" s="153">
        <f t="shared" si="32"/>
        <v>361709</v>
      </c>
      <c r="AR28" s="153">
        <f t="shared" si="32"/>
        <v>361709</v>
      </c>
      <c r="AS28" s="153">
        <f t="shared" si="32"/>
        <v>361709</v>
      </c>
      <c r="AT28" s="153">
        <f t="shared" si="32"/>
        <v>361709</v>
      </c>
      <c r="AU28" s="153">
        <f t="shared" si="32"/>
        <v>361709</v>
      </c>
      <c r="AV28" s="153">
        <f t="shared" si="32"/>
        <v>361709</v>
      </c>
      <c r="AW28" s="153">
        <f t="shared" si="32"/>
        <v>361709</v>
      </c>
      <c r="AX28" s="153">
        <f t="shared" si="32"/>
        <v>361709</v>
      </c>
      <c r="AY28" s="153">
        <f t="shared" si="32"/>
        <v>361709</v>
      </c>
      <c r="AZ28" s="153">
        <f t="shared" si="32"/>
        <v>361709</v>
      </c>
      <c r="BA28" s="153">
        <f t="shared" si="32"/>
        <v>361709</v>
      </c>
      <c r="BB28" s="152" t="e">
        <f t="shared" si="8"/>
        <v>#VALUE!</v>
      </c>
      <c r="BC28" s="126">
        <f t="shared" si="9"/>
        <v>0.1</v>
      </c>
      <c r="BD28" s="72"/>
      <c r="DI28"/>
    </row>
    <row r="29" spans="1:113" ht="16" thickBot="1" x14ac:dyDescent="0.25">
      <c r="A29">
        <v>16</v>
      </c>
      <c r="B29" s="39" t="s">
        <v>67</v>
      </c>
      <c r="C29" s="36">
        <v>7098952</v>
      </c>
      <c r="D29" s="69">
        <v>14969992</v>
      </c>
      <c r="E29" s="37">
        <v>320000</v>
      </c>
      <c r="G29" s="78">
        <f>+D29/AM29</f>
        <v>46.781224999999999</v>
      </c>
      <c r="H29" s="76">
        <f>SUM(AM29:BA29)/D29</f>
        <v>0.32064145391660864</v>
      </c>
      <c r="I29" s="111">
        <f>-AM29/AL29</f>
        <v>2.137609692777391E-2</v>
      </c>
      <c r="J29" s="166">
        <f>IRR(AL29:BA29,-0.1)</f>
        <v>-0.11712808550723308</v>
      </c>
      <c r="K29" s="143">
        <f>+BB29</f>
        <v>-12536046.557981325</v>
      </c>
      <c r="L29" s="110"/>
      <c r="M29" s="78">
        <f>+C29/T29</f>
        <v>22.184225000000001</v>
      </c>
      <c r="N29" s="105">
        <f>SUM(T29:AH29)/C29</f>
        <v>0.67615614248413003</v>
      </c>
      <c r="O29" s="77">
        <f>-T29/S29</f>
        <v>4.5077076165608673E-2</v>
      </c>
      <c r="P29" s="166">
        <f>IRR(S29:AH29)</f>
        <v>-4.5352673342208272E-2</v>
      </c>
      <c r="Q29" s="144">
        <f>+AI29</f>
        <v>-4665006.5579813253</v>
      </c>
      <c r="S29" s="149">
        <f t="shared" si="13"/>
        <v>-7098952</v>
      </c>
      <c r="T29" s="150">
        <f t="shared" ref="T29:AH29" si="33">$E29*(1+$C$2+$C$4)^T$10</f>
        <v>320000</v>
      </c>
      <c r="U29" s="150">
        <f t="shared" si="33"/>
        <v>320000</v>
      </c>
      <c r="V29" s="150">
        <f t="shared" si="33"/>
        <v>320000</v>
      </c>
      <c r="W29" s="150">
        <f t="shared" si="33"/>
        <v>320000</v>
      </c>
      <c r="X29" s="150">
        <f t="shared" si="33"/>
        <v>320000</v>
      </c>
      <c r="Y29" s="150">
        <f t="shared" si="33"/>
        <v>320000</v>
      </c>
      <c r="Z29" s="150">
        <f t="shared" si="33"/>
        <v>320000</v>
      </c>
      <c r="AA29" s="150">
        <f t="shared" si="33"/>
        <v>320000</v>
      </c>
      <c r="AB29" s="150">
        <f t="shared" si="33"/>
        <v>320000</v>
      </c>
      <c r="AC29" s="150">
        <f t="shared" si="33"/>
        <v>320000</v>
      </c>
      <c r="AD29" s="150">
        <f t="shared" si="33"/>
        <v>320000</v>
      </c>
      <c r="AE29" s="150">
        <f t="shared" si="33"/>
        <v>320000</v>
      </c>
      <c r="AF29" s="150">
        <f t="shared" si="33"/>
        <v>320000</v>
      </c>
      <c r="AG29" s="150">
        <f t="shared" si="33"/>
        <v>320000</v>
      </c>
      <c r="AH29" s="150">
        <f t="shared" si="33"/>
        <v>320000</v>
      </c>
      <c r="AI29" s="151">
        <f t="shared" si="5"/>
        <v>-4665006.5579813253</v>
      </c>
      <c r="AJ29" s="81">
        <f t="shared" si="6"/>
        <v>0.1</v>
      </c>
      <c r="AK29" s="84"/>
      <c r="AL29" s="154">
        <f t="shared" si="21"/>
        <v>-14969992</v>
      </c>
      <c r="AM29" s="155">
        <f t="shared" si="32"/>
        <v>320000</v>
      </c>
      <c r="AN29" s="155">
        <f t="shared" si="32"/>
        <v>320000</v>
      </c>
      <c r="AO29" s="155">
        <f t="shared" si="32"/>
        <v>320000</v>
      </c>
      <c r="AP29" s="155">
        <f t="shared" si="32"/>
        <v>320000</v>
      </c>
      <c r="AQ29" s="155">
        <f t="shared" si="32"/>
        <v>320000</v>
      </c>
      <c r="AR29" s="155">
        <f t="shared" si="32"/>
        <v>320000</v>
      </c>
      <c r="AS29" s="155">
        <f t="shared" si="32"/>
        <v>320000</v>
      </c>
      <c r="AT29" s="155">
        <f t="shared" si="32"/>
        <v>320000</v>
      </c>
      <c r="AU29" s="155">
        <f t="shared" si="32"/>
        <v>320000</v>
      </c>
      <c r="AV29" s="155">
        <f t="shared" si="32"/>
        <v>320000</v>
      </c>
      <c r="AW29" s="155">
        <f t="shared" si="32"/>
        <v>320000</v>
      </c>
      <c r="AX29" s="155">
        <f t="shared" si="32"/>
        <v>320000</v>
      </c>
      <c r="AY29" s="155">
        <f t="shared" si="32"/>
        <v>320000</v>
      </c>
      <c r="AZ29" s="155">
        <f t="shared" si="32"/>
        <v>320000</v>
      </c>
      <c r="BA29" s="155">
        <f t="shared" si="32"/>
        <v>320000</v>
      </c>
      <c r="BB29" s="156">
        <f t="shared" si="8"/>
        <v>-12536046.557981325</v>
      </c>
      <c r="BC29" s="81">
        <f t="shared" si="9"/>
        <v>0.1</v>
      </c>
      <c r="BD29" s="72"/>
      <c r="DI29"/>
    </row>
    <row r="30" spans="1:113" x14ac:dyDescent="0.2">
      <c r="J30" s="112"/>
      <c r="K30" s="112"/>
      <c r="L30" s="20"/>
      <c r="M30" s="112"/>
      <c r="R30" s="20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</row>
    <row r="31" spans="1:113" x14ac:dyDescent="0.2">
      <c r="J31" s="112"/>
      <c r="K31" s="112"/>
      <c r="L31" s="20"/>
      <c r="M31" s="112"/>
    </row>
    <row r="32" spans="1:113" x14ac:dyDescent="0.2">
      <c r="J32" s="112"/>
      <c r="K32" s="112"/>
      <c r="L32" s="20"/>
      <c r="M32" s="112"/>
    </row>
    <row r="33" spans="2:55" x14ac:dyDescent="0.2">
      <c r="B33" s="99" t="s">
        <v>68</v>
      </c>
      <c r="C33" s="100">
        <f>SUM(C11:C29)</f>
        <v>32752620</v>
      </c>
      <c r="D33" s="100">
        <f>SUM(D11:D29)</f>
        <v>128309094</v>
      </c>
      <c r="E33" s="101">
        <f>SUM(E11:E29)</f>
        <v>4702272</v>
      </c>
      <c r="G33" s="78">
        <f>+D33/AM33</f>
        <v>27.286616767383936</v>
      </c>
      <c r="H33" s="78">
        <f>SUM(AM33:BA33)/D33</f>
        <v>0.54972003777066647</v>
      </c>
      <c r="I33" s="111">
        <f t="shared" ref="I33" si="34">-AM33/AL33</f>
        <v>3.6648002518044433E-2</v>
      </c>
      <c r="J33" s="79">
        <f>IRR(AL33:BA33,-0.1)</f>
        <v>-6.6905115191126852E-2</v>
      </c>
      <c r="K33" s="143">
        <f>+BB33</f>
        <v>-92543239.307712376</v>
      </c>
      <c r="L33" s="107"/>
      <c r="M33" s="78">
        <f>+C33/T33</f>
        <v>6.9652755093707892</v>
      </c>
      <c r="N33" s="105">
        <f>SUM(T33:AH33)/C33</f>
        <v>2.1535400832055571</v>
      </c>
      <c r="O33" s="77">
        <f>-T33/S33</f>
        <v>0.14356933888037049</v>
      </c>
      <c r="P33" s="79">
        <f>IRR(S33:AH33,-0.1)</f>
        <v>0.11583050004691753</v>
      </c>
      <c r="Q33" s="144">
        <f>+AI33</f>
        <v>3013234.6922876164</v>
      </c>
      <c r="S33" s="102">
        <f>-$C33</f>
        <v>-32752620</v>
      </c>
      <c r="T33" s="82">
        <f t="shared" ref="T33:AH33" si="35">$E33*(1+$C$2+$C$4)^T$10</f>
        <v>4702272</v>
      </c>
      <c r="U33" s="82">
        <f t="shared" si="35"/>
        <v>4702272</v>
      </c>
      <c r="V33" s="82">
        <f t="shared" si="35"/>
        <v>4702272</v>
      </c>
      <c r="W33" s="82">
        <f t="shared" si="35"/>
        <v>4702272</v>
      </c>
      <c r="X33" s="82">
        <f t="shared" si="35"/>
        <v>4702272</v>
      </c>
      <c r="Y33" s="82">
        <f t="shared" si="35"/>
        <v>4702272</v>
      </c>
      <c r="Z33" s="82">
        <f t="shared" si="35"/>
        <v>4702272</v>
      </c>
      <c r="AA33" s="82">
        <f t="shared" si="35"/>
        <v>4702272</v>
      </c>
      <c r="AB33" s="82">
        <f t="shared" si="35"/>
        <v>4702272</v>
      </c>
      <c r="AC33" s="82">
        <f t="shared" si="35"/>
        <v>4702272</v>
      </c>
      <c r="AD33" s="82">
        <f t="shared" si="35"/>
        <v>4702272</v>
      </c>
      <c r="AE33" s="82">
        <f t="shared" si="35"/>
        <v>4702272</v>
      </c>
      <c r="AF33" s="82">
        <f t="shared" si="35"/>
        <v>4702272</v>
      </c>
      <c r="AG33" s="82">
        <f t="shared" si="35"/>
        <v>4702272</v>
      </c>
      <c r="AH33" s="82">
        <f t="shared" si="35"/>
        <v>4702272</v>
      </c>
      <c r="AI33" s="80">
        <f t="shared" ref="AI33" si="36">NPV(AJ33,T33:AH33)+S33</f>
        <v>3013234.6922876164</v>
      </c>
      <c r="AJ33" s="94">
        <f t="shared" ref="AJ33" si="37">+$C$5</f>
        <v>0.1</v>
      </c>
      <c r="AL33" s="102">
        <f>-$D33</f>
        <v>-128309094</v>
      </c>
      <c r="AM33" s="82">
        <f t="shared" ref="AM33:BA33" si="38">$E33*(1+$C$2+$C$4)^AM$10</f>
        <v>4702272</v>
      </c>
      <c r="AN33" s="82">
        <f t="shared" si="38"/>
        <v>4702272</v>
      </c>
      <c r="AO33" s="82">
        <f t="shared" si="38"/>
        <v>4702272</v>
      </c>
      <c r="AP33" s="82">
        <f t="shared" si="38"/>
        <v>4702272</v>
      </c>
      <c r="AQ33" s="82">
        <f t="shared" si="38"/>
        <v>4702272</v>
      </c>
      <c r="AR33" s="82">
        <f t="shared" si="38"/>
        <v>4702272</v>
      </c>
      <c r="AS33" s="82">
        <f t="shared" si="38"/>
        <v>4702272</v>
      </c>
      <c r="AT33" s="82">
        <f t="shared" si="38"/>
        <v>4702272</v>
      </c>
      <c r="AU33" s="82">
        <f t="shared" si="38"/>
        <v>4702272</v>
      </c>
      <c r="AV33" s="82">
        <f t="shared" si="38"/>
        <v>4702272</v>
      </c>
      <c r="AW33" s="82">
        <f t="shared" si="38"/>
        <v>4702272</v>
      </c>
      <c r="AX33" s="82">
        <f t="shared" si="38"/>
        <v>4702272</v>
      </c>
      <c r="AY33" s="82">
        <f t="shared" si="38"/>
        <v>4702272</v>
      </c>
      <c r="AZ33" s="82">
        <f t="shared" si="38"/>
        <v>4702272</v>
      </c>
      <c r="BA33" s="82">
        <f t="shared" si="38"/>
        <v>4702272</v>
      </c>
      <c r="BB33" s="80">
        <f t="shared" ref="BB33" si="39">NPV(BC33,AM33:BA33)+AL33</f>
        <v>-92543239.307712376</v>
      </c>
      <c r="BC33" s="94">
        <f t="shared" ref="BC33" si="40">+$C$5</f>
        <v>0.1</v>
      </c>
    </row>
  </sheetData>
  <phoneticPr fontId="9" type="noConversion"/>
  <conditionalFormatting sqref="B11:B29 J11:L11 P11:Q29 J22:L27 J13:L16 J29:L29 J33:L33 P33:Q33 J18:L20">
    <cfRule type="cellIs" dxfId="0" priority="3" operator="lessThan">
      <formula>0</formula>
    </cfRule>
  </conditionalFormatting>
  <pageMargins left="0.7" right="0.7" top="0.75" bottom="0.75" header="0.3" footer="0.3"/>
  <pageSetup scale="41" orientation="landscape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AU18"/>
  <sheetViews>
    <sheetView tabSelected="1" topLeftCell="B5" workbookViewId="0">
      <selection activeCell="I12" sqref="I12:I17"/>
    </sheetView>
  </sheetViews>
  <sheetFormatPr baseColWidth="10" defaultColWidth="8.83203125" defaultRowHeight="15" x14ac:dyDescent="0.2"/>
  <cols>
    <col min="3" max="5" width="19.5" style="9" customWidth="1"/>
    <col min="6" max="7" width="19.5" customWidth="1"/>
    <col min="8" max="8" width="3.5" customWidth="1"/>
    <col min="9" max="9" width="18.5" customWidth="1"/>
    <col min="10" max="10" width="16.5" customWidth="1"/>
    <col min="12" max="12" width="13.5" bestFit="1" customWidth="1"/>
    <col min="13" max="13" width="12.5" bestFit="1" customWidth="1"/>
    <col min="14" max="15" width="11.33203125" bestFit="1" customWidth="1"/>
    <col min="16" max="18" width="10.5" bestFit="1" customWidth="1"/>
    <col min="19" max="27" width="11.5" bestFit="1" customWidth="1"/>
    <col min="28" max="28" width="13.33203125" customWidth="1"/>
    <col min="30" max="30" width="10.6640625" bestFit="1" customWidth="1"/>
    <col min="31" max="31" width="11.5" bestFit="1" customWidth="1"/>
    <col min="46" max="46" width="11" customWidth="1"/>
    <col min="47" max="47" width="8.83203125" customWidth="1"/>
  </cols>
  <sheetData>
    <row r="2" spans="3:47" ht="16" x14ac:dyDescent="0.2">
      <c r="C2" s="7" t="s">
        <v>55</v>
      </c>
      <c r="D2" s="8">
        <v>0</v>
      </c>
    </row>
    <row r="3" spans="3:47" ht="32" x14ac:dyDescent="0.2">
      <c r="C3" s="7" t="s">
        <v>56</v>
      </c>
      <c r="D3" s="7" t="s">
        <v>70</v>
      </c>
    </row>
    <row r="4" spans="3:47" ht="16" x14ac:dyDescent="0.2">
      <c r="C4" s="7" t="s">
        <v>57</v>
      </c>
      <c r="D4" s="8">
        <v>0</v>
      </c>
    </row>
    <row r="5" spans="3:47" ht="16" x14ac:dyDescent="0.2">
      <c r="C5" s="10" t="s">
        <v>58</v>
      </c>
      <c r="D5" s="11">
        <v>0.1</v>
      </c>
    </row>
    <row r="6" spans="3:47" ht="16" x14ac:dyDescent="0.2">
      <c r="C6" s="7" t="s">
        <v>71</v>
      </c>
      <c r="D6" s="7">
        <v>15</v>
      </c>
    </row>
    <row r="10" spans="3:47" ht="16" thickBot="1" x14ac:dyDescent="0.25">
      <c r="L10" s="12" t="s">
        <v>72</v>
      </c>
      <c r="AD10" s="12" t="s">
        <v>73</v>
      </c>
    </row>
    <row r="11" spans="3:47" ht="35" thickBot="1" x14ac:dyDescent="0.25">
      <c r="C11" s="45" t="s">
        <v>54</v>
      </c>
      <c r="D11" s="46" t="s">
        <v>52</v>
      </c>
      <c r="E11" s="59" t="s">
        <v>74</v>
      </c>
      <c r="F11" s="53" t="s">
        <v>60</v>
      </c>
      <c r="G11" s="47" t="s">
        <v>6</v>
      </c>
      <c r="H11" s="21"/>
      <c r="I11" s="13" t="s">
        <v>75</v>
      </c>
      <c r="J11" s="13" t="s">
        <v>8</v>
      </c>
      <c r="L11" s="14">
        <v>0</v>
      </c>
      <c r="M11" s="14">
        <v>1</v>
      </c>
      <c r="N11" s="14">
        <v>2</v>
      </c>
      <c r="O11" s="14">
        <v>3</v>
      </c>
      <c r="P11" s="14">
        <v>4</v>
      </c>
      <c r="Q11" s="14">
        <v>5</v>
      </c>
      <c r="R11" s="14">
        <v>6</v>
      </c>
      <c r="S11" s="14">
        <v>7</v>
      </c>
      <c r="T11" s="14">
        <v>8</v>
      </c>
      <c r="U11" s="14">
        <v>9</v>
      </c>
      <c r="V11" s="14">
        <v>10</v>
      </c>
      <c r="W11" s="14">
        <v>11</v>
      </c>
      <c r="X11" s="14">
        <v>12</v>
      </c>
      <c r="Y11" s="14">
        <v>13</v>
      </c>
      <c r="Z11" s="14">
        <v>14</v>
      </c>
      <c r="AA11" s="14">
        <v>15</v>
      </c>
      <c r="AB11" s="15" t="s">
        <v>76</v>
      </c>
      <c r="AD11" s="14">
        <v>0</v>
      </c>
      <c r="AE11" s="14">
        <v>1</v>
      </c>
      <c r="AF11" s="14">
        <v>2</v>
      </c>
      <c r="AG11" s="14">
        <v>3</v>
      </c>
      <c r="AH11" s="14">
        <v>4</v>
      </c>
      <c r="AI11" s="14">
        <v>5</v>
      </c>
      <c r="AJ11" s="14">
        <v>6</v>
      </c>
      <c r="AK11" s="14">
        <v>7</v>
      </c>
      <c r="AL11" s="14">
        <v>8</v>
      </c>
      <c r="AM11" s="14">
        <v>9</v>
      </c>
      <c r="AN11" s="14">
        <v>10</v>
      </c>
      <c r="AO11" s="14">
        <v>11</v>
      </c>
      <c r="AP11" s="14">
        <v>12</v>
      </c>
      <c r="AQ11" s="14">
        <v>13</v>
      </c>
      <c r="AR11" s="14">
        <v>14</v>
      </c>
      <c r="AS11" s="14">
        <v>15</v>
      </c>
      <c r="AT11" s="15" t="s">
        <v>76</v>
      </c>
      <c r="AU11" s="142" t="s">
        <v>45</v>
      </c>
    </row>
    <row r="12" spans="3:47" ht="32" x14ac:dyDescent="0.2">
      <c r="C12" s="48" t="s">
        <v>77</v>
      </c>
      <c r="D12" s="44">
        <v>41850</v>
      </c>
      <c r="E12" s="60">
        <v>5359</v>
      </c>
      <c r="F12" s="54">
        <f>SUM(AD12:AS12)</f>
        <v>-1089.0199256934973</v>
      </c>
      <c r="G12" s="169">
        <f>IRR(L12:AA12)</f>
        <v>9.541632591139293E-2</v>
      </c>
      <c r="H12" s="22"/>
      <c r="I12" s="174">
        <f>((D12+E12)/D12)-1</f>
        <v>0.12805256869773007</v>
      </c>
      <c r="J12" s="23">
        <f>NPV($D$5,M12:AA12)+L12</f>
        <v>-1089.0199256935011</v>
      </c>
      <c r="L12" s="157">
        <f t="shared" ref="L12:L17" si="0">-D12</f>
        <v>-41850</v>
      </c>
      <c r="M12" s="157">
        <f>$E12</f>
        <v>5359</v>
      </c>
      <c r="N12" s="157">
        <f t="shared" ref="N12:AA16" si="1">$E12</f>
        <v>5359</v>
      </c>
      <c r="O12" s="157">
        <f t="shared" si="1"/>
        <v>5359</v>
      </c>
      <c r="P12" s="157">
        <f t="shared" si="1"/>
        <v>5359</v>
      </c>
      <c r="Q12" s="157">
        <f t="shared" si="1"/>
        <v>5359</v>
      </c>
      <c r="R12" s="157">
        <f t="shared" si="1"/>
        <v>5359</v>
      </c>
      <c r="S12" s="157">
        <f t="shared" si="1"/>
        <v>5359</v>
      </c>
      <c r="T12" s="157">
        <f t="shared" si="1"/>
        <v>5359</v>
      </c>
      <c r="U12" s="157">
        <f t="shared" si="1"/>
        <v>5359</v>
      </c>
      <c r="V12" s="157">
        <f t="shared" si="1"/>
        <v>5359</v>
      </c>
      <c r="W12" s="157">
        <f t="shared" si="1"/>
        <v>5359</v>
      </c>
      <c r="X12" s="157">
        <f t="shared" si="1"/>
        <v>5359</v>
      </c>
      <c r="Y12" s="157">
        <f t="shared" si="1"/>
        <v>5359</v>
      </c>
      <c r="Z12" s="157">
        <f t="shared" si="1"/>
        <v>5359</v>
      </c>
      <c r="AA12" s="157">
        <f t="shared" si="1"/>
        <v>5359</v>
      </c>
      <c r="AB12" s="158">
        <f>SUM(M12:AA12)</f>
        <v>80385</v>
      </c>
      <c r="AC12" s="159"/>
      <c r="AD12" s="157">
        <f>L12</f>
        <v>-41850</v>
      </c>
      <c r="AE12" s="160">
        <f>M12/(1+$D$5)^AE$11</f>
        <v>4871.8181818181811</v>
      </c>
      <c r="AF12" s="160">
        <f t="shared" ref="AF12:AS16" si="2">N12/(1+$D$5)^AF$11</f>
        <v>4428.9256198347102</v>
      </c>
      <c r="AG12" s="160">
        <f>O12/(1+$D$5)^AG$11</f>
        <v>4026.296018031554</v>
      </c>
      <c r="AH12" s="160">
        <f t="shared" si="2"/>
        <v>3660.269107301413</v>
      </c>
      <c r="AI12" s="160">
        <f t="shared" si="2"/>
        <v>3327.5173702740112</v>
      </c>
      <c r="AJ12" s="160">
        <f t="shared" si="2"/>
        <v>3025.0157911581919</v>
      </c>
      <c r="AK12" s="160">
        <f t="shared" si="2"/>
        <v>2750.0143555983559</v>
      </c>
      <c r="AL12" s="160">
        <f t="shared" si="2"/>
        <v>2500.0130505439602</v>
      </c>
      <c r="AM12" s="160">
        <f t="shared" si="2"/>
        <v>2272.7391368581452</v>
      </c>
      <c r="AN12" s="160">
        <f t="shared" si="2"/>
        <v>2066.1264880528593</v>
      </c>
      <c r="AO12" s="160">
        <f t="shared" si="2"/>
        <v>1878.2968073207808</v>
      </c>
      <c r="AP12" s="160">
        <f t="shared" si="2"/>
        <v>1707.5425521098007</v>
      </c>
      <c r="AQ12" s="160">
        <f t="shared" si="2"/>
        <v>1552.3114110089098</v>
      </c>
      <c r="AR12" s="160">
        <f t="shared" si="2"/>
        <v>1411.1921918262813</v>
      </c>
      <c r="AS12" s="160">
        <f t="shared" si="2"/>
        <v>1282.9019925693467</v>
      </c>
      <c r="AT12" s="161">
        <f>SUM(AD12:AS12)</f>
        <v>-1089.0199256934973</v>
      </c>
      <c r="AU12" s="159">
        <f>NPV($D$5,M12:AA12)+L12</f>
        <v>-1089.0199256935011</v>
      </c>
    </row>
    <row r="13" spans="3:47" ht="33.75" customHeight="1" x14ac:dyDescent="0.2">
      <c r="C13" s="49" t="s">
        <v>78</v>
      </c>
      <c r="D13" s="16">
        <v>30000</v>
      </c>
      <c r="E13" s="61">
        <v>9646</v>
      </c>
      <c r="F13" s="55">
        <f t="shared" ref="F13:F17" si="3">SUM(AD13:AS13)</f>
        <v>43368.242917850439</v>
      </c>
      <c r="G13" s="170">
        <f t="shared" ref="G13:G16" si="4">IRR(L13:AA13)</f>
        <v>0.3163239762841239</v>
      </c>
      <c r="H13" s="22"/>
      <c r="I13" s="174">
        <f>((D13+E13)/D13)-1</f>
        <v>0.32153333333333323</v>
      </c>
      <c r="J13" s="23">
        <f>NPV($D$5,M13:AA13)+L13</f>
        <v>43368.242917850439</v>
      </c>
      <c r="L13" s="157">
        <f t="shared" si="0"/>
        <v>-30000</v>
      </c>
      <c r="M13" s="157">
        <f t="shared" ref="M13:M16" si="5">$E13</f>
        <v>9646</v>
      </c>
      <c r="N13" s="157">
        <f t="shared" si="1"/>
        <v>9646</v>
      </c>
      <c r="O13" s="157">
        <f t="shared" si="1"/>
        <v>9646</v>
      </c>
      <c r="P13" s="157">
        <f t="shared" si="1"/>
        <v>9646</v>
      </c>
      <c r="Q13" s="157">
        <f t="shared" si="1"/>
        <v>9646</v>
      </c>
      <c r="R13" s="157">
        <f t="shared" si="1"/>
        <v>9646</v>
      </c>
      <c r="S13" s="157">
        <f t="shared" si="1"/>
        <v>9646</v>
      </c>
      <c r="T13" s="157">
        <f t="shared" si="1"/>
        <v>9646</v>
      </c>
      <c r="U13" s="157">
        <f t="shared" si="1"/>
        <v>9646</v>
      </c>
      <c r="V13" s="157">
        <f t="shared" si="1"/>
        <v>9646</v>
      </c>
      <c r="W13" s="157">
        <f t="shared" si="1"/>
        <v>9646</v>
      </c>
      <c r="X13" s="157">
        <f t="shared" si="1"/>
        <v>9646</v>
      </c>
      <c r="Y13" s="157">
        <f t="shared" si="1"/>
        <v>9646</v>
      </c>
      <c r="Z13" s="157">
        <f t="shared" si="1"/>
        <v>9646</v>
      </c>
      <c r="AA13" s="157">
        <f t="shared" si="1"/>
        <v>9646</v>
      </c>
      <c r="AB13" s="158">
        <f t="shared" ref="AB13:AB17" si="6">SUM(M13:AA13)</f>
        <v>144690</v>
      </c>
      <c r="AC13" s="159"/>
      <c r="AD13" s="157">
        <f t="shared" ref="AD13:AD16" si="7">L13</f>
        <v>-30000</v>
      </c>
      <c r="AE13" s="160">
        <f t="shared" ref="AE13:AE16" si="8">M13/(1+$D$5)^AE$11</f>
        <v>8769.0909090909081</v>
      </c>
      <c r="AF13" s="160">
        <f t="shared" si="2"/>
        <v>7971.90082644628</v>
      </c>
      <c r="AG13" s="160">
        <f t="shared" si="2"/>
        <v>7247.1825694966165</v>
      </c>
      <c r="AH13" s="160">
        <f t="shared" si="2"/>
        <v>6588.3477904514702</v>
      </c>
      <c r="AI13" s="160">
        <f t="shared" si="2"/>
        <v>5989.4070822286085</v>
      </c>
      <c r="AJ13" s="160">
        <f t="shared" si="2"/>
        <v>5444.9155292987343</v>
      </c>
      <c r="AK13" s="160">
        <f t="shared" si="2"/>
        <v>4949.9232084533942</v>
      </c>
      <c r="AL13" s="160">
        <f t="shared" si="2"/>
        <v>4499.9301895030858</v>
      </c>
      <c r="AM13" s="160">
        <f t="shared" si="2"/>
        <v>4090.845626820987</v>
      </c>
      <c r="AN13" s="160">
        <f t="shared" si="2"/>
        <v>3718.9505698372604</v>
      </c>
      <c r="AO13" s="160">
        <f t="shared" si="2"/>
        <v>3380.8641543975091</v>
      </c>
      <c r="AP13" s="160">
        <f t="shared" si="2"/>
        <v>3073.5128676340992</v>
      </c>
      <c r="AQ13" s="160">
        <f t="shared" si="2"/>
        <v>2794.10260694009</v>
      </c>
      <c r="AR13" s="160">
        <f t="shared" si="2"/>
        <v>2540.093279036445</v>
      </c>
      <c r="AS13" s="160">
        <f t="shared" si="2"/>
        <v>2309.1757082149502</v>
      </c>
      <c r="AT13" s="161">
        <f t="shared" ref="AT13:AT17" si="9">SUM(AD13:AS13)</f>
        <v>43368.242917850439</v>
      </c>
      <c r="AU13" s="159">
        <f t="shared" ref="AU13:AU17" si="10">NPV($D$5,M13:AA13)+L13</f>
        <v>43368.242917850439</v>
      </c>
    </row>
    <row r="14" spans="3:47" ht="16" x14ac:dyDescent="0.2">
      <c r="C14" s="49" t="s">
        <v>10</v>
      </c>
      <c r="D14" s="16">
        <v>0</v>
      </c>
      <c r="E14" s="61">
        <v>0</v>
      </c>
      <c r="F14" s="55">
        <f t="shared" si="3"/>
        <v>0</v>
      </c>
      <c r="G14" s="170"/>
      <c r="H14" s="22"/>
      <c r="I14" s="174"/>
      <c r="J14" s="23">
        <f t="shared" ref="J14" si="11">NPV($D$5,L14:AA14)</f>
        <v>0</v>
      </c>
      <c r="L14" s="157">
        <f t="shared" si="0"/>
        <v>0</v>
      </c>
      <c r="M14" s="157">
        <f t="shared" si="5"/>
        <v>0</v>
      </c>
      <c r="N14" s="157">
        <f t="shared" si="1"/>
        <v>0</v>
      </c>
      <c r="O14" s="157">
        <f t="shared" si="1"/>
        <v>0</v>
      </c>
      <c r="P14" s="157">
        <f t="shared" si="1"/>
        <v>0</v>
      </c>
      <c r="Q14" s="157">
        <f t="shared" si="1"/>
        <v>0</v>
      </c>
      <c r="R14" s="157">
        <f t="shared" si="1"/>
        <v>0</v>
      </c>
      <c r="S14" s="157">
        <f t="shared" si="1"/>
        <v>0</v>
      </c>
      <c r="T14" s="157">
        <f t="shared" si="1"/>
        <v>0</v>
      </c>
      <c r="U14" s="157">
        <f t="shared" si="1"/>
        <v>0</v>
      </c>
      <c r="V14" s="157">
        <f t="shared" si="1"/>
        <v>0</v>
      </c>
      <c r="W14" s="157">
        <f t="shared" si="1"/>
        <v>0</v>
      </c>
      <c r="X14" s="157">
        <f t="shared" si="1"/>
        <v>0</v>
      </c>
      <c r="Y14" s="157">
        <f t="shared" si="1"/>
        <v>0</v>
      </c>
      <c r="Z14" s="157">
        <f t="shared" si="1"/>
        <v>0</v>
      </c>
      <c r="AA14" s="157">
        <f t="shared" si="1"/>
        <v>0</v>
      </c>
      <c r="AB14" s="158">
        <f t="shared" si="6"/>
        <v>0</v>
      </c>
      <c r="AC14" s="159"/>
      <c r="AD14" s="157">
        <f t="shared" si="7"/>
        <v>0</v>
      </c>
      <c r="AE14" s="160">
        <f t="shared" si="8"/>
        <v>0</v>
      </c>
      <c r="AF14" s="160">
        <f t="shared" si="2"/>
        <v>0</v>
      </c>
      <c r="AG14" s="160">
        <f t="shared" si="2"/>
        <v>0</v>
      </c>
      <c r="AH14" s="160">
        <f t="shared" si="2"/>
        <v>0</v>
      </c>
      <c r="AI14" s="160">
        <f t="shared" si="2"/>
        <v>0</v>
      </c>
      <c r="AJ14" s="160">
        <f t="shared" si="2"/>
        <v>0</v>
      </c>
      <c r="AK14" s="160">
        <f t="shared" si="2"/>
        <v>0</v>
      </c>
      <c r="AL14" s="160">
        <f t="shared" si="2"/>
        <v>0</v>
      </c>
      <c r="AM14" s="160">
        <f t="shared" si="2"/>
        <v>0</v>
      </c>
      <c r="AN14" s="160">
        <f t="shared" si="2"/>
        <v>0</v>
      </c>
      <c r="AO14" s="160">
        <f t="shared" si="2"/>
        <v>0</v>
      </c>
      <c r="AP14" s="160">
        <f t="shared" si="2"/>
        <v>0</v>
      </c>
      <c r="AQ14" s="160">
        <f t="shared" si="2"/>
        <v>0</v>
      </c>
      <c r="AR14" s="160">
        <f t="shared" si="2"/>
        <v>0</v>
      </c>
      <c r="AS14" s="160">
        <f t="shared" si="2"/>
        <v>0</v>
      </c>
      <c r="AT14" s="161">
        <f t="shared" si="9"/>
        <v>0</v>
      </c>
      <c r="AU14" s="159">
        <f t="shared" si="10"/>
        <v>0</v>
      </c>
    </row>
    <row r="15" spans="3:47" ht="54" customHeight="1" x14ac:dyDescent="0.2">
      <c r="C15" s="49" t="s">
        <v>9</v>
      </c>
      <c r="D15" s="16">
        <v>47520</v>
      </c>
      <c r="E15" s="61">
        <v>3659</v>
      </c>
      <c r="F15" s="56">
        <f t="shared" si="3"/>
        <v>-19689.355086417709</v>
      </c>
      <c r="G15" s="171">
        <f t="shared" si="4"/>
        <v>1.8576614278141834E-2</v>
      </c>
      <c r="H15" s="22"/>
      <c r="I15" s="174">
        <f>((D15+E15)/D15)-1</f>
        <v>7.6999158249158262E-2</v>
      </c>
      <c r="J15" s="23">
        <f t="shared" ref="J15:J17" si="12">NPV($D$5,M15:AA15)+L15</f>
        <v>-19689.355086417712</v>
      </c>
      <c r="L15" s="157">
        <f t="shared" si="0"/>
        <v>-47520</v>
      </c>
      <c r="M15" s="157">
        <f t="shared" si="5"/>
        <v>3659</v>
      </c>
      <c r="N15" s="157">
        <f t="shared" si="1"/>
        <v>3659</v>
      </c>
      <c r="O15" s="157">
        <f t="shared" si="1"/>
        <v>3659</v>
      </c>
      <c r="P15" s="157">
        <f t="shared" si="1"/>
        <v>3659</v>
      </c>
      <c r="Q15" s="157">
        <f t="shared" si="1"/>
        <v>3659</v>
      </c>
      <c r="R15" s="157">
        <f t="shared" si="1"/>
        <v>3659</v>
      </c>
      <c r="S15" s="157">
        <f t="shared" si="1"/>
        <v>3659</v>
      </c>
      <c r="T15" s="157">
        <f t="shared" si="1"/>
        <v>3659</v>
      </c>
      <c r="U15" s="157">
        <f t="shared" si="1"/>
        <v>3659</v>
      </c>
      <c r="V15" s="157">
        <f t="shared" si="1"/>
        <v>3659</v>
      </c>
      <c r="W15" s="157">
        <f t="shared" si="1"/>
        <v>3659</v>
      </c>
      <c r="X15" s="157">
        <f t="shared" si="1"/>
        <v>3659</v>
      </c>
      <c r="Y15" s="157">
        <f t="shared" si="1"/>
        <v>3659</v>
      </c>
      <c r="Z15" s="157">
        <f t="shared" si="1"/>
        <v>3659</v>
      </c>
      <c r="AA15" s="157">
        <f t="shared" si="1"/>
        <v>3659</v>
      </c>
      <c r="AB15" s="158">
        <f t="shared" si="6"/>
        <v>54885</v>
      </c>
      <c r="AC15" s="159"/>
      <c r="AD15" s="157">
        <f t="shared" si="7"/>
        <v>-47520</v>
      </c>
      <c r="AE15" s="160">
        <f t="shared" si="8"/>
        <v>3326.363636363636</v>
      </c>
      <c r="AF15" s="160">
        <f t="shared" si="2"/>
        <v>3023.9669421487597</v>
      </c>
      <c r="AG15" s="160">
        <f t="shared" si="2"/>
        <v>2749.060856498872</v>
      </c>
      <c r="AH15" s="160">
        <f t="shared" si="2"/>
        <v>2499.1462331807929</v>
      </c>
      <c r="AI15" s="160">
        <f t="shared" si="2"/>
        <v>2271.9511210734481</v>
      </c>
      <c r="AJ15" s="160">
        <f t="shared" si="2"/>
        <v>2065.4101100667708</v>
      </c>
      <c r="AK15" s="160">
        <f t="shared" si="2"/>
        <v>1877.645554606155</v>
      </c>
      <c r="AL15" s="160">
        <f t="shared" si="2"/>
        <v>1706.9505041874136</v>
      </c>
      <c r="AM15" s="160">
        <f t="shared" si="2"/>
        <v>1551.7731856249213</v>
      </c>
      <c r="AN15" s="160">
        <f t="shared" si="2"/>
        <v>1410.7028960226558</v>
      </c>
      <c r="AO15" s="160">
        <f t="shared" si="2"/>
        <v>1282.4571782024141</v>
      </c>
      <c r="AP15" s="160">
        <f t="shared" si="2"/>
        <v>1165.8701620021945</v>
      </c>
      <c r="AQ15" s="160">
        <f t="shared" si="2"/>
        <v>1059.8819654565405</v>
      </c>
      <c r="AR15" s="160">
        <f t="shared" si="2"/>
        <v>963.52905950594572</v>
      </c>
      <c r="AS15" s="160">
        <f t="shared" si="2"/>
        <v>875.93550864176882</v>
      </c>
      <c r="AT15" s="161">
        <f t="shared" si="9"/>
        <v>-19689.355086417709</v>
      </c>
      <c r="AU15" s="159">
        <f t="shared" si="10"/>
        <v>-19689.355086417712</v>
      </c>
    </row>
    <row r="16" spans="3:47" ht="17" thickBot="1" x14ac:dyDescent="0.25">
      <c r="C16" s="50" t="s">
        <v>79</v>
      </c>
      <c r="D16" s="17">
        <v>45000</v>
      </c>
      <c r="E16" s="62">
        <v>17946</v>
      </c>
      <c r="F16" s="57">
        <f t="shared" si="3"/>
        <v>91498.702820209845</v>
      </c>
      <c r="G16" s="172">
        <f t="shared" si="4"/>
        <v>0.39612774573640697</v>
      </c>
      <c r="H16" s="22"/>
      <c r="I16" s="175">
        <f>((D16+E16)/D16)-1</f>
        <v>0.39880000000000004</v>
      </c>
      <c r="J16" s="23">
        <f t="shared" si="12"/>
        <v>91498.702820209757</v>
      </c>
      <c r="L16" s="157">
        <f t="shared" si="0"/>
        <v>-45000</v>
      </c>
      <c r="M16" s="157">
        <f t="shared" si="5"/>
        <v>17946</v>
      </c>
      <c r="N16" s="157">
        <f t="shared" si="1"/>
        <v>17946</v>
      </c>
      <c r="O16" s="157">
        <f t="shared" si="1"/>
        <v>17946</v>
      </c>
      <c r="P16" s="157">
        <f t="shared" si="1"/>
        <v>17946</v>
      </c>
      <c r="Q16" s="157">
        <f t="shared" si="1"/>
        <v>17946</v>
      </c>
      <c r="R16" s="157">
        <f t="shared" si="1"/>
        <v>17946</v>
      </c>
      <c r="S16" s="157">
        <f t="shared" si="1"/>
        <v>17946</v>
      </c>
      <c r="T16" s="157">
        <f t="shared" si="1"/>
        <v>17946</v>
      </c>
      <c r="U16" s="157">
        <f t="shared" si="1"/>
        <v>17946</v>
      </c>
      <c r="V16" s="157">
        <f t="shared" si="1"/>
        <v>17946</v>
      </c>
      <c r="W16" s="157">
        <f t="shared" si="1"/>
        <v>17946</v>
      </c>
      <c r="X16" s="157">
        <f t="shared" si="1"/>
        <v>17946</v>
      </c>
      <c r="Y16" s="157">
        <f t="shared" si="1"/>
        <v>17946</v>
      </c>
      <c r="Z16" s="157">
        <f t="shared" si="1"/>
        <v>17946</v>
      </c>
      <c r="AA16" s="157">
        <f t="shared" si="1"/>
        <v>17946</v>
      </c>
      <c r="AB16" s="158">
        <f t="shared" si="6"/>
        <v>269190</v>
      </c>
      <c r="AC16" s="159"/>
      <c r="AD16" s="157">
        <f t="shared" si="7"/>
        <v>-45000</v>
      </c>
      <c r="AE16" s="160">
        <f t="shared" si="8"/>
        <v>16314.545454545454</v>
      </c>
      <c r="AF16" s="160">
        <f t="shared" si="2"/>
        <v>14831.404958677684</v>
      </c>
      <c r="AG16" s="160">
        <f t="shared" si="2"/>
        <v>13483.09541697971</v>
      </c>
      <c r="AH16" s="160">
        <f t="shared" si="2"/>
        <v>12257.359469981555</v>
      </c>
      <c r="AI16" s="160">
        <f t="shared" si="2"/>
        <v>11143.054063619595</v>
      </c>
      <c r="AJ16" s="160">
        <f t="shared" si="2"/>
        <v>10130.049148745085</v>
      </c>
      <c r="AK16" s="160">
        <f t="shared" si="2"/>
        <v>9209.135589768257</v>
      </c>
      <c r="AL16" s="160">
        <f t="shared" si="2"/>
        <v>8371.9414452438723</v>
      </c>
      <c r="AM16" s="160">
        <f t="shared" si="2"/>
        <v>7610.8558593126099</v>
      </c>
      <c r="AN16" s="160">
        <f t="shared" si="2"/>
        <v>6918.9598721023722</v>
      </c>
      <c r="AO16" s="160">
        <f t="shared" si="2"/>
        <v>6289.9635200930643</v>
      </c>
      <c r="AP16" s="160">
        <f t="shared" si="2"/>
        <v>5718.1486546300584</v>
      </c>
      <c r="AQ16" s="160">
        <f t="shared" si="2"/>
        <v>5198.316958754599</v>
      </c>
      <c r="AR16" s="160">
        <f t="shared" si="2"/>
        <v>4725.7426897769074</v>
      </c>
      <c r="AS16" s="160">
        <f t="shared" si="2"/>
        <v>4296.1297179790063</v>
      </c>
      <c r="AT16" s="161">
        <f t="shared" si="9"/>
        <v>91498.702820209845</v>
      </c>
      <c r="AU16" s="159">
        <f t="shared" si="10"/>
        <v>91498.702820209757</v>
      </c>
    </row>
    <row r="17" spans="3:47" ht="69.75" customHeight="1" thickBot="1" x14ac:dyDescent="0.25">
      <c r="C17" s="51" t="s">
        <v>69</v>
      </c>
      <c r="D17" s="52">
        <v>134030</v>
      </c>
      <c r="E17" s="63">
        <v>37766</v>
      </c>
      <c r="F17" s="58">
        <f t="shared" si="3"/>
        <v>153221.19863524154</v>
      </c>
      <c r="G17" s="173">
        <f>IRR(L17:AA17)</f>
        <v>0.27434992466235375</v>
      </c>
      <c r="H17" s="22"/>
      <c r="I17" s="176">
        <f>((D17+E17)/D17)-1</f>
        <v>0.28177273744684017</v>
      </c>
      <c r="J17" s="23">
        <f t="shared" si="12"/>
        <v>153221.19863524154</v>
      </c>
      <c r="L17" s="157">
        <f t="shared" si="0"/>
        <v>-134030</v>
      </c>
      <c r="M17" s="162">
        <f>$E$17</f>
        <v>37766</v>
      </c>
      <c r="N17" s="162">
        <f t="shared" ref="N17:AA17" si="13">$E$17</f>
        <v>37766</v>
      </c>
      <c r="O17" s="162">
        <f t="shared" si="13"/>
        <v>37766</v>
      </c>
      <c r="P17" s="162">
        <f t="shared" si="13"/>
        <v>37766</v>
      </c>
      <c r="Q17" s="162">
        <f t="shared" si="13"/>
        <v>37766</v>
      </c>
      <c r="R17" s="162">
        <f t="shared" si="13"/>
        <v>37766</v>
      </c>
      <c r="S17" s="162">
        <f t="shared" si="13"/>
        <v>37766</v>
      </c>
      <c r="T17" s="162">
        <f t="shared" si="13"/>
        <v>37766</v>
      </c>
      <c r="U17" s="162">
        <f t="shared" si="13"/>
        <v>37766</v>
      </c>
      <c r="V17" s="162">
        <f t="shared" si="13"/>
        <v>37766</v>
      </c>
      <c r="W17" s="162">
        <f t="shared" si="13"/>
        <v>37766</v>
      </c>
      <c r="X17" s="162">
        <f t="shared" si="13"/>
        <v>37766</v>
      </c>
      <c r="Y17" s="162">
        <f t="shared" si="13"/>
        <v>37766</v>
      </c>
      <c r="Z17" s="162">
        <f t="shared" si="13"/>
        <v>37766</v>
      </c>
      <c r="AA17" s="162">
        <f t="shared" si="13"/>
        <v>37766</v>
      </c>
      <c r="AB17" s="158">
        <f t="shared" si="6"/>
        <v>566490</v>
      </c>
      <c r="AC17" s="159"/>
      <c r="AD17" s="158">
        <f>L17</f>
        <v>-134030</v>
      </c>
      <c r="AE17" s="163">
        <f>M17/(1+$D$5)^AE11</f>
        <v>34332.727272727272</v>
      </c>
      <c r="AF17" s="163">
        <f>N17/(1+$D$5)^AF11</f>
        <v>31211.57024793388</v>
      </c>
      <c r="AG17" s="163">
        <f t="shared" ref="AG17:AS17" si="14">O17/(1+$D$5)^AG11</f>
        <v>28374.154770848978</v>
      </c>
      <c r="AH17" s="163">
        <f t="shared" si="14"/>
        <v>25794.686155317253</v>
      </c>
      <c r="AI17" s="163">
        <f t="shared" si="14"/>
        <v>23449.714686652045</v>
      </c>
      <c r="AJ17" s="163">
        <f t="shared" si="14"/>
        <v>21317.922442410949</v>
      </c>
      <c r="AK17" s="163">
        <f t="shared" si="14"/>
        <v>19379.929493100859</v>
      </c>
      <c r="AL17" s="163">
        <f t="shared" si="14"/>
        <v>17618.117721000785</v>
      </c>
      <c r="AM17" s="163">
        <f t="shared" si="14"/>
        <v>16016.470655455256</v>
      </c>
      <c r="AN17" s="163">
        <f t="shared" si="14"/>
        <v>14560.427868595685</v>
      </c>
      <c r="AO17" s="163">
        <f t="shared" si="14"/>
        <v>13236.752607814258</v>
      </c>
      <c r="AP17" s="163">
        <f t="shared" si="14"/>
        <v>12033.411461649326</v>
      </c>
      <c r="AQ17" s="163">
        <f t="shared" si="14"/>
        <v>10939.46496513575</v>
      </c>
      <c r="AR17" s="163">
        <f t="shared" si="14"/>
        <v>9944.9681501234081</v>
      </c>
      <c r="AS17" s="163">
        <f t="shared" si="14"/>
        <v>9040.8801364758256</v>
      </c>
      <c r="AT17" s="161">
        <f t="shared" si="9"/>
        <v>153221.19863524154</v>
      </c>
      <c r="AU17" s="159">
        <f t="shared" si="10"/>
        <v>153221.19863524154</v>
      </c>
    </row>
    <row r="18" spans="3:47" x14ac:dyDescent="0.2">
      <c r="C18" s="18"/>
      <c r="F18" s="19"/>
      <c r="G18" s="19"/>
      <c r="H18" s="19"/>
      <c r="J18" s="19"/>
    </row>
  </sheetData>
  <phoneticPr fontId="9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Empire State Building</vt:lpstr>
      <vt:lpstr>Li Fung</vt:lpstr>
      <vt:lpstr>'Empire State Building'!Print_Area</vt:lpstr>
      <vt:lpstr>'Li Fung'!Print_Area</vt:lpstr>
      <vt:lpstr>'Empire State Building'!Print_Titles</vt:lpstr>
      <vt:lpstr>'Li Fung'!Print_Titles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Samuelson</dc:creator>
  <cp:lastModifiedBy>Microsoft Office User</cp:lastModifiedBy>
  <cp:lastPrinted>2018-02-23T21:16:56Z</cp:lastPrinted>
  <dcterms:created xsi:type="dcterms:W3CDTF">2014-02-25T03:08:12Z</dcterms:created>
  <dcterms:modified xsi:type="dcterms:W3CDTF">2019-02-27T00:31:15Z</dcterms:modified>
</cp:coreProperties>
</file>